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ctrlProps/ctrlProp8.xml" ContentType="application/vnd.ms-excel.controlproperties+xml"/>
  <Override PartName="/xl/ctrlProps/ctrlProp9.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DD97A8EA-9A9A-E61F-A557-7D5A7D7259CE}"/>
  <workbookPr codeName="ThisWorkbook"/>
  <mc:AlternateContent xmlns:mc="http://schemas.openxmlformats.org/markup-compatibility/2006">
    <mc:Choice Requires="x15">
      <x15ac:absPath xmlns:x15ac="http://schemas.microsoft.com/office/spreadsheetml/2010/11/ac" url="https://per.cloud.gov.ie/apps/eDocs/S/DPE118/Files/DPE118-007-2016/Website Development/Content Maintenance and Updates/2026 Estimator/"/>
    </mc:Choice>
  </mc:AlternateContent>
  <xr:revisionPtr revIDLastSave="0" documentId="8_{1523B3B7-42FB-45B4-8A8F-5CDCD396A657}" xr6:coauthVersionLast="47" xr6:coauthVersionMax="47" xr10:uidLastSave="{00000000-0000-0000-0000-000000000000}"/>
  <bookViews>
    <workbookView xWindow="-108" yWindow="-108" windowWidth="23256" windowHeight="12456" xr2:uid="{00000000-000D-0000-FFFF-FFFF00000000}"/>
  </bookViews>
  <sheets>
    <sheet name="Disclaimer" sheetId="5" r:id="rId1"/>
    <sheet name="Assumptions" sheetId="6" state="hidden" r:id="rId2"/>
    <sheet name="Inputs" sheetId="1" state="hidden" r:id="rId3"/>
    <sheet name="Outputs" sheetId="7" state="hidden" r:id="rId4"/>
    <sheet name="Lists" sheetId="2" state="veryHidden" r:id="rId5"/>
    <sheet name="Model Parameters" sheetId="3" state="veryHidden" r:id="rId6"/>
    <sheet name="Calculations" sheetId="4" state="veryHidden" r:id="rId7"/>
  </sheets>
  <definedNames>
    <definedName name="_xleta.TIME" hidden="1" xlm="1">#NAME?</definedName>
  </definedNames>
  <calcPr calcId="191029"/>
  <customWorkbookViews>
    <customWorkbookView name="Outputs View" guid="{4E701ADD-B653-400C-8A42-0AC861206E5A}" maximized="1" xWindow="-8" yWindow="-8" windowWidth="1936" windowHeight="1056" activeSheetId="7"/>
    <customWorkbookView name="Inputs View" guid="{2A619B68-536F-426D-BFE9-EE04724DEF36}" maximized="1" xWindow="-8" yWindow="-8" windowWidth="1936" windowHeight="1056" activeSheetId="1"/>
    <customWorkbookView name="Disclaimer Page" guid="{1605CA2C-FF00-4896-997A-CEBF2520096B}" maximized="1" xWindow="-8" yWindow="-8" windowWidth="1936" windowHeight="1056" activeSheetId="5"/>
    <customWorkbookView name="Assumptions Page" guid="{3A4D590C-9376-45C5-87AA-FF7CE0EBE4F9}" maximized="1" xWindow="-8" yWindow="-8" windowWidth="1936" windowHeight="1056" activeSheetId="6"/>
    <customWorkbookView name="Developer View (All Shown)" guid="{94C6E1F2-1311-446C-ACA2-771EF249BF12}" maximized="1" xWindow="-8" yWindow="-8" windowWidth="1936" windowHeight="1056" activeSheetId="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3" l="1"/>
  <c r="R14" i="4" l="1"/>
  <c r="N19" i="3"/>
  <c r="N20" i="3"/>
  <c r="N21" i="3"/>
  <c r="N22" i="3"/>
  <c r="N23" i="3"/>
  <c r="N24" i="3"/>
  <c r="N25" i="3"/>
  <c r="N26" i="3"/>
  <c r="N27" i="3"/>
  <c r="N28" i="3"/>
  <c r="N29" i="3"/>
  <c r="N18" i="3"/>
  <c r="C7" i="4"/>
  <c r="G4" i="3"/>
  <c r="G37" i="7"/>
  <c r="E28" i="1"/>
  <c r="G12" i="3" l="1"/>
  <c r="I12" i="3" s="1"/>
  <c r="C40" i="1"/>
  <c r="C34" i="1"/>
  <c r="S14" i="4"/>
  <c r="C39" i="1"/>
  <c r="C33" i="1"/>
  <c r="C22" i="1"/>
  <c r="G39" i="7" l="1"/>
  <c r="G38" i="7"/>
  <c r="G36" i="7"/>
  <c r="F35" i="7"/>
  <c r="G30" i="7"/>
  <c r="D7" i="4" l="1"/>
  <c r="E7" i="4"/>
  <c r="E9" i="4" s="1"/>
  <c r="M7" i="4" l="1"/>
  <c r="N7" i="4"/>
  <c r="O7" i="4"/>
  <c r="E15" i="1"/>
  <c r="G14" i="3"/>
  <c r="G5" i="3"/>
  <c r="G6" i="3"/>
  <c r="G7" i="3"/>
  <c r="M5" i="4" s="1"/>
  <c r="G8" i="3"/>
  <c r="N5" i="4" s="1"/>
  <c r="G18" i="3"/>
  <c r="G28" i="7" l="1"/>
  <c r="G15" i="3"/>
  <c r="F7" i="4" s="1"/>
  <c r="F9" i="4" s="1"/>
  <c r="C13" i="7"/>
  <c r="C18" i="7"/>
  <c r="R5" i="4"/>
  <c r="R3" i="4"/>
  <c r="R4" i="4"/>
  <c r="B3" i="2"/>
  <c r="E23" i="1"/>
  <c r="E11" i="1"/>
  <c r="K7" i="4" l="1"/>
  <c r="I7" i="4"/>
  <c r="G22" i="7"/>
  <c r="C9" i="4"/>
  <c r="D9" i="4" s="1"/>
  <c r="G8" i="7" l="1"/>
  <c r="G9" i="4"/>
  <c r="C10" i="4"/>
  <c r="F10" i="4" s="1"/>
  <c r="E10" i="4" l="1"/>
  <c r="G10" i="4" s="1"/>
  <c r="H9" i="4"/>
  <c r="I9" i="4" s="1"/>
  <c r="J9" i="4"/>
  <c r="K9" i="4" s="1"/>
  <c r="D8" i="7"/>
  <c r="C10" i="7" s="1"/>
  <c r="D10" i="4"/>
  <c r="C11" i="4"/>
  <c r="F11" i="4" s="1"/>
  <c r="H10" i="4" l="1"/>
  <c r="I10" i="4" s="1"/>
  <c r="G15" i="7"/>
  <c r="D15" i="7"/>
  <c r="J10" i="4"/>
  <c r="K10" i="4" s="1"/>
  <c r="E11" i="4"/>
  <c r="C12" i="4"/>
  <c r="F12" i="4" s="1"/>
  <c r="D11" i="4"/>
  <c r="C17" i="7" l="1"/>
  <c r="G11" i="4"/>
  <c r="H11" i="4"/>
  <c r="I11" i="4" s="1"/>
  <c r="J11" i="4"/>
  <c r="K11" i="4" s="1"/>
  <c r="E12" i="4"/>
  <c r="C13" i="4"/>
  <c r="F13" i="4" s="1"/>
  <c r="D12" i="4"/>
  <c r="G12" i="4" l="1"/>
  <c r="H12" i="4"/>
  <c r="I12" i="4" s="1"/>
  <c r="J12" i="4"/>
  <c r="K12" i="4" s="1"/>
  <c r="E13" i="4"/>
  <c r="C14" i="4"/>
  <c r="F14" i="4" s="1"/>
  <c r="D13" i="4"/>
  <c r="G13" i="4" l="1"/>
  <c r="H13" i="4"/>
  <c r="I13" i="4" s="1"/>
  <c r="J13" i="4"/>
  <c r="K13" i="4" s="1"/>
  <c r="E14" i="4"/>
  <c r="C15" i="4"/>
  <c r="F15" i="4" s="1"/>
  <c r="D14" i="4"/>
  <c r="G14" i="4" l="1"/>
  <c r="H14" i="4"/>
  <c r="I14" i="4" s="1"/>
  <c r="J14" i="4"/>
  <c r="K14" i="4" s="1"/>
  <c r="E15" i="4"/>
  <c r="C16" i="4"/>
  <c r="F16" i="4" s="1"/>
  <c r="D15" i="4"/>
  <c r="G15" i="4" l="1"/>
  <c r="H15" i="4"/>
  <c r="I15" i="4" s="1"/>
  <c r="J15" i="4"/>
  <c r="K15" i="4" s="1"/>
  <c r="E16" i="4"/>
  <c r="C17" i="4"/>
  <c r="F17" i="4" s="1"/>
  <c r="D16" i="4"/>
  <c r="G16" i="4" l="1"/>
  <c r="H16" i="4"/>
  <c r="I16" i="4" s="1"/>
  <c r="J16" i="4"/>
  <c r="K16" i="4" s="1"/>
  <c r="E17" i="4"/>
  <c r="C18" i="4"/>
  <c r="F18" i="4" s="1"/>
  <c r="D17" i="4"/>
  <c r="G17" i="4" l="1"/>
  <c r="H17" i="4"/>
  <c r="I17" i="4" s="1"/>
  <c r="J17" i="4"/>
  <c r="K17" i="4" s="1"/>
  <c r="E18" i="4"/>
  <c r="C19" i="4"/>
  <c r="F19" i="4" s="1"/>
  <c r="D18" i="4"/>
  <c r="G18" i="4" l="1"/>
  <c r="H18" i="4"/>
  <c r="I18" i="4" s="1"/>
  <c r="J18" i="4"/>
  <c r="K18" i="4" s="1"/>
  <c r="E19" i="4"/>
  <c r="C20" i="4"/>
  <c r="F20" i="4" s="1"/>
  <c r="D19" i="4"/>
  <c r="G19" i="4" l="1"/>
  <c r="H19" i="4"/>
  <c r="I19" i="4" s="1"/>
  <c r="J19" i="4"/>
  <c r="K19" i="4" s="1"/>
  <c r="E20" i="4"/>
  <c r="C21" i="4"/>
  <c r="F21" i="4" s="1"/>
  <c r="D20" i="4"/>
  <c r="G20" i="4" l="1"/>
  <c r="H20" i="4"/>
  <c r="I20" i="4" s="1"/>
  <c r="J20" i="4"/>
  <c r="K20" i="4" s="1"/>
  <c r="E21" i="4"/>
  <c r="G21" i="4" s="1"/>
  <c r="C22" i="4"/>
  <c r="F22" i="4" s="1"/>
  <c r="D21" i="4"/>
  <c r="H21" i="4" l="1"/>
  <c r="I21" i="4" s="1"/>
  <c r="J21" i="4"/>
  <c r="K21" i="4" s="1"/>
  <c r="E22" i="4"/>
  <c r="G22" i="4" s="1"/>
  <c r="C23" i="4"/>
  <c r="F23" i="4" s="1"/>
  <c r="D22" i="4"/>
  <c r="H22" i="4" l="1"/>
  <c r="I22" i="4" s="1"/>
  <c r="J22" i="4"/>
  <c r="K22" i="4" s="1"/>
  <c r="E23" i="4"/>
  <c r="G23" i="4" s="1"/>
  <c r="C24" i="4"/>
  <c r="F24" i="4" s="1"/>
  <c r="D23" i="4"/>
  <c r="H23" i="4" l="1"/>
  <c r="I23" i="4" s="1"/>
  <c r="J23" i="4"/>
  <c r="K23" i="4" s="1"/>
  <c r="E24" i="4"/>
  <c r="G24" i="4" s="1"/>
  <c r="C25" i="4"/>
  <c r="F25" i="4" s="1"/>
  <c r="D24" i="4"/>
  <c r="H24" i="4" l="1"/>
  <c r="I24" i="4" s="1"/>
  <c r="J24" i="4"/>
  <c r="K24" i="4" s="1"/>
  <c r="E25" i="4"/>
  <c r="G25" i="4" s="1"/>
  <c r="C26" i="4"/>
  <c r="F26" i="4" s="1"/>
  <c r="D25" i="4"/>
  <c r="H25" i="4" l="1"/>
  <c r="I25" i="4" s="1"/>
  <c r="J25" i="4"/>
  <c r="K25" i="4" s="1"/>
  <c r="E26" i="4"/>
  <c r="G26" i="4" s="1"/>
  <c r="C27" i="4"/>
  <c r="F27" i="4" s="1"/>
  <c r="D26" i="4"/>
  <c r="H26" i="4" l="1"/>
  <c r="I26" i="4" s="1"/>
  <c r="J26" i="4"/>
  <c r="K26" i="4" s="1"/>
  <c r="E27" i="4"/>
  <c r="G27" i="4" s="1"/>
  <c r="C28" i="4"/>
  <c r="F28" i="4" s="1"/>
  <c r="D27" i="4"/>
  <c r="H27" i="4" l="1"/>
  <c r="I27" i="4" s="1"/>
  <c r="J27" i="4"/>
  <c r="K27" i="4" s="1"/>
  <c r="E28" i="4"/>
  <c r="G28" i="4" s="1"/>
  <c r="C29" i="4"/>
  <c r="F29" i="4" s="1"/>
  <c r="D28" i="4"/>
  <c r="H28" i="4" l="1"/>
  <c r="I28" i="4" s="1"/>
  <c r="J28" i="4"/>
  <c r="K28" i="4" s="1"/>
  <c r="E29" i="4"/>
  <c r="G29" i="4" s="1"/>
  <c r="C30" i="4"/>
  <c r="F30" i="4" s="1"/>
  <c r="D29" i="4"/>
  <c r="H29" i="4" l="1"/>
  <c r="I29" i="4" s="1"/>
  <c r="J29" i="4"/>
  <c r="K29" i="4" s="1"/>
  <c r="E30" i="4"/>
  <c r="G30" i="4" s="1"/>
  <c r="C31" i="4"/>
  <c r="F31" i="4" s="1"/>
  <c r="D30" i="4"/>
  <c r="H30" i="4" l="1"/>
  <c r="I30" i="4" s="1"/>
  <c r="J30" i="4"/>
  <c r="K30" i="4" s="1"/>
  <c r="E31" i="4"/>
  <c r="C32" i="4"/>
  <c r="F32" i="4" s="1"/>
  <c r="D31" i="4"/>
  <c r="D32" i="4" l="1"/>
  <c r="G31" i="4"/>
  <c r="H31" i="4"/>
  <c r="I31" i="4" s="1"/>
  <c r="J31" i="4"/>
  <c r="K31" i="4" s="1"/>
  <c r="E32" i="4"/>
  <c r="C33" i="4"/>
  <c r="F33" i="4" s="1"/>
  <c r="G32" i="4" l="1"/>
  <c r="H32" i="4"/>
  <c r="I32" i="4" s="1"/>
  <c r="J32" i="4"/>
  <c r="K32" i="4" s="1"/>
  <c r="E33" i="4"/>
  <c r="C34" i="4"/>
  <c r="F34" i="4" s="1"/>
  <c r="D33" i="4"/>
  <c r="G33" i="4" l="1"/>
  <c r="J33" i="4"/>
  <c r="K33" i="4" s="1"/>
  <c r="H33" i="4"/>
  <c r="I33" i="4" s="1"/>
  <c r="E34" i="4"/>
  <c r="C35" i="4"/>
  <c r="F35" i="4" s="1"/>
  <c r="D34" i="4"/>
  <c r="G34" i="4" l="1"/>
  <c r="H34" i="4"/>
  <c r="I34" i="4" s="1"/>
  <c r="J34" i="4"/>
  <c r="K34" i="4" s="1"/>
  <c r="E35" i="4"/>
  <c r="C36" i="4"/>
  <c r="F36" i="4" s="1"/>
  <c r="D35" i="4"/>
  <c r="G35" i="4" l="1"/>
  <c r="H35" i="4"/>
  <c r="I35" i="4" s="1"/>
  <c r="J35" i="4"/>
  <c r="K35" i="4" s="1"/>
  <c r="E36" i="4"/>
  <c r="C37" i="4"/>
  <c r="F37" i="4" s="1"/>
  <c r="D36" i="4"/>
  <c r="G36" i="4" l="1"/>
  <c r="J36" i="4"/>
  <c r="K36" i="4" s="1"/>
  <c r="H36" i="4"/>
  <c r="I36" i="4" s="1"/>
  <c r="E37" i="4"/>
  <c r="C38" i="4"/>
  <c r="F38" i="4" s="1"/>
  <c r="D37" i="4"/>
  <c r="G37" i="4" l="1"/>
  <c r="H37" i="4"/>
  <c r="I37" i="4" s="1"/>
  <c r="J37" i="4"/>
  <c r="K37" i="4" s="1"/>
  <c r="E38" i="4"/>
  <c r="C39" i="4"/>
  <c r="F39" i="4" s="1"/>
  <c r="D38" i="4"/>
  <c r="G38" i="4" l="1"/>
  <c r="H38" i="4"/>
  <c r="I38" i="4" s="1"/>
  <c r="J38" i="4"/>
  <c r="K38" i="4" s="1"/>
  <c r="E39" i="4"/>
  <c r="C40" i="4"/>
  <c r="F40" i="4" s="1"/>
  <c r="D39" i="4"/>
  <c r="G39" i="4" l="1"/>
  <c r="H39" i="4"/>
  <c r="I39" i="4" s="1"/>
  <c r="J39" i="4"/>
  <c r="K39" i="4" s="1"/>
  <c r="E40" i="4"/>
  <c r="C41" i="4"/>
  <c r="F41" i="4" s="1"/>
  <c r="D40" i="4"/>
  <c r="G40" i="4" l="1"/>
  <c r="H40" i="4"/>
  <c r="I40" i="4" s="1"/>
  <c r="J40" i="4"/>
  <c r="K40" i="4" s="1"/>
  <c r="E41" i="4"/>
  <c r="C42" i="4"/>
  <c r="F42" i="4" s="1"/>
  <c r="D41" i="4"/>
  <c r="J41" i="4" l="1"/>
  <c r="K41" i="4" s="1"/>
  <c r="G41" i="4"/>
  <c r="H41" i="4"/>
  <c r="I41" i="4" s="1"/>
  <c r="E42" i="4"/>
  <c r="C43" i="4"/>
  <c r="F43" i="4" s="1"/>
  <c r="D42" i="4"/>
  <c r="G42" i="4" l="1"/>
  <c r="J42" i="4"/>
  <c r="K42" i="4" s="1"/>
  <c r="H42" i="4"/>
  <c r="I42" i="4" s="1"/>
  <c r="E43" i="4"/>
  <c r="C44" i="4"/>
  <c r="F44" i="4" s="1"/>
  <c r="D43" i="4"/>
  <c r="G43" i="4" l="1"/>
  <c r="J43" i="4"/>
  <c r="K43" i="4" s="1"/>
  <c r="H43" i="4"/>
  <c r="I43" i="4" s="1"/>
  <c r="E44" i="4"/>
  <c r="C45" i="4"/>
  <c r="F45" i="4" s="1"/>
  <c r="D44" i="4"/>
  <c r="G44" i="4" l="1"/>
  <c r="J44" i="4"/>
  <c r="K44" i="4" s="1"/>
  <c r="H44" i="4"/>
  <c r="I44" i="4" s="1"/>
  <c r="E45" i="4"/>
  <c r="C46" i="4"/>
  <c r="F46" i="4" s="1"/>
  <c r="D45" i="4"/>
  <c r="G45" i="4" l="1"/>
  <c r="J45" i="4"/>
  <c r="K45" i="4" s="1"/>
  <c r="H45" i="4"/>
  <c r="I45" i="4" s="1"/>
  <c r="E46" i="4"/>
  <c r="C47" i="4"/>
  <c r="F47" i="4" s="1"/>
  <c r="D46" i="4"/>
  <c r="G46" i="4" l="1"/>
  <c r="J46" i="4"/>
  <c r="K46" i="4" s="1"/>
  <c r="H46" i="4"/>
  <c r="I46" i="4" s="1"/>
  <c r="E47" i="4"/>
  <c r="C48" i="4"/>
  <c r="F48" i="4" s="1"/>
  <c r="D47" i="4"/>
  <c r="G47" i="4" l="1"/>
  <c r="J47" i="4"/>
  <c r="K47" i="4" s="1"/>
  <c r="H47" i="4"/>
  <c r="I47" i="4" s="1"/>
  <c r="E48" i="4"/>
  <c r="C49" i="4"/>
  <c r="F49" i="4" s="1"/>
  <c r="D48" i="4"/>
  <c r="G48" i="4" l="1"/>
  <c r="J48" i="4"/>
  <c r="K48" i="4" s="1"/>
  <c r="H48" i="4"/>
  <c r="I48" i="4" s="1"/>
  <c r="E49" i="4"/>
  <c r="C50" i="4"/>
  <c r="F50" i="4" s="1"/>
  <c r="D49" i="4"/>
  <c r="G49" i="4" l="1"/>
  <c r="J49" i="4"/>
  <c r="K49" i="4" s="1"/>
  <c r="H49" i="4"/>
  <c r="I49" i="4" s="1"/>
  <c r="E50" i="4"/>
  <c r="C51" i="4"/>
  <c r="F51" i="4" s="1"/>
  <c r="D50" i="4"/>
  <c r="G50" i="4" l="1"/>
  <c r="J50" i="4"/>
  <c r="K50" i="4" s="1"/>
  <c r="H50" i="4"/>
  <c r="I50" i="4" s="1"/>
  <c r="E51" i="4"/>
  <c r="C52" i="4"/>
  <c r="F52" i="4" s="1"/>
  <c r="D51" i="4"/>
  <c r="G51" i="4" l="1"/>
  <c r="J51" i="4"/>
  <c r="K51" i="4" s="1"/>
  <c r="H51" i="4"/>
  <c r="I51" i="4" s="1"/>
  <c r="E52" i="4"/>
  <c r="C53" i="4"/>
  <c r="F53" i="4" s="1"/>
  <c r="D52" i="4"/>
  <c r="G52" i="4" l="1"/>
  <c r="J52" i="4"/>
  <c r="K52" i="4" s="1"/>
  <c r="H52" i="4"/>
  <c r="I52" i="4" s="1"/>
  <c r="E53" i="4"/>
  <c r="C54" i="4"/>
  <c r="F54" i="4" s="1"/>
  <c r="D53" i="4"/>
  <c r="G53" i="4" l="1"/>
  <c r="J53" i="4"/>
  <c r="K53" i="4" s="1"/>
  <c r="H53" i="4"/>
  <c r="I53" i="4" s="1"/>
  <c r="E54" i="4"/>
  <c r="C55" i="4"/>
  <c r="F55" i="4" s="1"/>
  <c r="D54" i="4"/>
  <c r="G54" i="4" l="1"/>
  <c r="J54" i="4"/>
  <c r="K54" i="4" s="1"/>
  <c r="H54" i="4"/>
  <c r="I54" i="4" s="1"/>
  <c r="E55" i="4"/>
  <c r="C56" i="4"/>
  <c r="F56" i="4" s="1"/>
  <c r="D55" i="4"/>
  <c r="G55" i="4" l="1"/>
  <c r="J55" i="4"/>
  <c r="K55" i="4" s="1"/>
  <c r="H55" i="4"/>
  <c r="I55" i="4" s="1"/>
  <c r="E56" i="4"/>
  <c r="C57" i="4"/>
  <c r="F57" i="4" s="1"/>
  <c r="D56" i="4"/>
  <c r="G56" i="4" l="1"/>
  <c r="J56" i="4"/>
  <c r="K56" i="4" s="1"/>
  <c r="H56" i="4"/>
  <c r="I56" i="4" s="1"/>
  <c r="E57" i="4"/>
  <c r="C58" i="4"/>
  <c r="F58" i="4" s="1"/>
  <c r="D57" i="4"/>
  <c r="G57" i="4" l="1"/>
  <c r="J57" i="4"/>
  <c r="K57" i="4" s="1"/>
  <c r="H57" i="4"/>
  <c r="I57" i="4" s="1"/>
  <c r="E58" i="4"/>
  <c r="C59" i="4"/>
  <c r="F59" i="4" s="1"/>
  <c r="D58" i="4"/>
  <c r="G58" i="4" l="1"/>
  <c r="J58" i="4"/>
  <c r="K58" i="4" s="1"/>
  <c r="H58" i="4"/>
  <c r="I58" i="4" s="1"/>
  <c r="E59" i="4"/>
  <c r="C60" i="4"/>
  <c r="F60" i="4" s="1"/>
  <c r="D59" i="4"/>
  <c r="G59" i="4" l="1"/>
  <c r="J59" i="4"/>
  <c r="K59" i="4" s="1"/>
  <c r="H59" i="4"/>
  <c r="I59" i="4" s="1"/>
  <c r="D60" i="4"/>
  <c r="E60" i="4"/>
  <c r="G60" i="4" l="1"/>
  <c r="J60" i="4"/>
  <c r="K60" i="4" s="1"/>
  <c r="H60" i="4"/>
  <c r="I60" i="4" s="1"/>
  <c r="R8" i="4" l="1"/>
  <c r="R11" i="4" s="1"/>
  <c r="R9" i="4"/>
  <c r="R12" i="4" l="1"/>
  <c r="G24" i="7" s="1"/>
  <c r="G26" i="7"/>
</calcChain>
</file>

<file path=xl/sharedStrings.xml><?xml version="1.0" encoding="utf-8"?>
<sst xmlns="http://schemas.openxmlformats.org/spreadsheetml/2006/main" count="148" uniqueCount="116">
  <si>
    <t>SINGLE PUBLIC SERVICE PENSION SCHEME (THE "SINGLE SCHEME") 
INPUTS</t>
  </si>
  <si>
    <t>This Tool is designed to give a broad indication of the retirement benefits of members of the Single Scheme at normal retirement age. The outputs from the Estimator Tool are not a guarantee of the retirement benefits payable at your normal retirement age. For a broad estimate of your projected Single Scheme benefits, please provide the following information:</t>
  </si>
  <si>
    <t>Membership Type</t>
  </si>
  <si>
    <t>Select</t>
  </si>
  <si>
    <t>Standard</t>
  </si>
  <si>
    <t>Retirement Age</t>
  </si>
  <si>
    <t>€</t>
  </si>
  <si>
    <t>%</t>
  </si>
  <si>
    <t>Year</t>
  </si>
  <si>
    <t>Date of Birth (DD/MM/YYYY)</t>
  </si>
  <si>
    <t>Pension Referable Amounts</t>
  </si>
  <si>
    <t>Date</t>
  </si>
  <si>
    <t>Lump-Sum Referable Amounts</t>
  </si>
  <si>
    <t>This will be your assumed % work pattern until retirement.</t>
  </si>
  <si>
    <t>Include all of your approved pensionable allowances.</t>
  </si>
  <si>
    <t>These figures will be available on your annual benefit statement.</t>
  </si>
  <si>
    <t>Year of Most Recent Annual Benefit Statement</t>
  </si>
  <si>
    <t>This document is issued by your pension administrator (e.g. NSSO).</t>
  </si>
  <si>
    <t>Current % Work Pattern or Full Time Equivalent (FTE)</t>
  </si>
  <si>
    <t>If paid weekly, multiply weekly gross pay by 52.18.</t>
  </si>
  <si>
    <t>Retained Firefighter</t>
  </si>
  <si>
    <t>Judge</t>
  </si>
  <si>
    <t>Uniform</t>
  </si>
  <si>
    <t>Retirement Age (Uniformed Members Only)</t>
  </si>
  <si>
    <t>If Membership Type is not Uniformed, this can be left blank.</t>
  </si>
  <si>
    <t>Max Year for ABS</t>
  </si>
  <si>
    <t>Workshare %</t>
  </si>
  <si>
    <t>Parameters</t>
  </si>
  <si>
    <t>Accrual rates</t>
  </si>
  <si>
    <t>Lump sum rate:</t>
  </si>
  <si>
    <t>Pension rate:</t>
  </si>
  <si>
    <t>Low-pay rate:</t>
  </si>
  <si>
    <t>PR</t>
  </si>
  <si>
    <t>NPR</t>
  </si>
  <si>
    <t>State Pension (€)</t>
  </si>
  <si>
    <t>Weekly rate:</t>
  </si>
  <si>
    <t>Annual rate:</t>
  </si>
  <si>
    <t>* annual</t>
  </si>
  <si>
    <t>Annual rate of increase (nominal)</t>
  </si>
  <si>
    <t>Salary (€)</t>
  </si>
  <si>
    <t>Real and Promotional pay growth</t>
  </si>
  <si>
    <t>Inflation</t>
  </si>
  <si>
    <t>Deflation Factor</t>
  </si>
  <si>
    <t>2020 Onwards</t>
  </si>
  <si>
    <t>Bands</t>
  </si>
  <si>
    <t>ASC</t>
  </si>
  <si>
    <t>&lt;=€34500</t>
  </si>
  <si>
    <t>&gt;34500 - &lt;=€60000</t>
  </si>
  <si>
    <t>&gt;€60,000</t>
  </si>
  <si>
    <t>CPI Factors - SS referable amounts</t>
  </si>
  <si>
    <t>N/A</t>
  </si>
  <si>
    <t>CSP Cut-Off Dates</t>
  </si>
  <si>
    <t>CSP Rates</t>
  </si>
  <si>
    <t>Yr</t>
  </si>
  <si>
    <t xml:space="preserve">Start </t>
  </si>
  <si>
    <t xml:space="preserve">End </t>
  </si>
  <si>
    <t xml:space="preserve">CSP </t>
  </si>
  <si>
    <t>Lookup Table For Parameters</t>
  </si>
  <si>
    <t>NRA</t>
  </si>
  <si>
    <t>Disclaimer</t>
  </si>
  <si>
    <t>Contributions This Year</t>
  </si>
  <si>
    <t>Scheme Contributions</t>
  </si>
  <si>
    <t>Additional Superannuation Contribution (ASC)</t>
  </si>
  <si>
    <t>Retirement Benefits Built Up This Year</t>
  </si>
  <si>
    <t>Estimated Benefits At Retirement</t>
  </si>
  <si>
    <t>Retirement Pension Benefit</t>
  </si>
  <si>
    <t>p.a.</t>
  </si>
  <si>
    <t>Retirement Lump Sum Benefit</t>
  </si>
  <si>
    <t>Single Scheme Retirement Lump Sum</t>
  </si>
  <si>
    <t>Single Scheme Annual Retirement Pension</t>
  </si>
  <si>
    <t>Annual Contributory State Pension</t>
  </si>
  <si>
    <t xml:space="preserve">You are assumed to be eligible to receive the full State Pension (Contributory) from your state pension eligibility age. Your Single Scheme Normal Retirement Age and the State Pension (Contributory) eligibility age are not the same if you are a Uniformed member or a Retained Firefighter.  However for all other membership types, the eligibility age for the State Pension (Contributory) and the minimum Single Scheme normal retirement age are the same. </t>
  </si>
  <si>
    <t>Today's Date</t>
  </si>
  <si>
    <t>All figures shown above are in present day money terms. This means that your estimated benefits are shown in the equivalent of “today’s money.”</t>
  </si>
  <si>
    <t>Reminder - Inputs</t>
  </si>
  <si>
    <t>Full-Time Gross Annual Pensionable Pay (€)</t>
  </si>
  <si>
    <t>% Work Pattern or Full Time Equivalent (FTE)</t>
  </si>
  <si>
    <t>Date of Birth</t>
  </si>
  <si>
    <t>These estimates have been derived in line with actuarial guidance issued by the Society of Actuaries In Ireland, Actuarial Standards of Practice PEN-12.</t>
  </si>
  <si>
    <t>YEAR</t>
  </si>
  <si>
    <t>PROJECTED SALARY</t>
  </si>
  <si>
    <t>EE CONT</t>
  </si>
  <si>
    <t>Lump Sum</t>
  </si>
  <si>
    <t>Scheme Pension</t>
  </si>
  <si>
    <t>% of Year Worked</t>
  </si>
  <si>
    <t>3.74*Offset</t>
  </si>
  <si>
    <t>Accrued per year</t>
  </si>
  <si>
    <t>Uprated with CPI</t>
  </si>
  <si>
    <t xml:space="preserve"> </t>
  </si>
  <si>
    <t>NRD</t>
  </si>
  <si>
    <t>Year Desc</t>
  </si>
  <si>
    <t>Base Year</t>
  </si>
  <si>
    <t>First Projection Year</t>
  </si>
  <si>
    <t>Date of Last Projection Year Start</t>
  </si>
  <si>
    <t>Service (Years)</t>
  </si>
  <si>
    <t>Normal Pension Age:</t>
  </si>
  <si>
    <t>Benefits</t>
  </si>
  <si>
    <t>Projected Pension</t>
  </si>
  <si>
    <t>Projected Lump Sum</t>
  </si>
  <si>
    <t>PV Pension</t>
  </si>
  <si>
    <t>PV Lump Sum</t>
  </si>
  <si>
    <t>Date of Retirement</t>
  </si>
  <si>
    <t>Calculations / Outputs</t>
  </si>
  <si>
    <t>Cumulative CPI Factors - SS referable amounts</t>
  </si>
  <si>
    <t>Normal Retirement Date</t>
  </si>
  <si>
    <t>Year of Most Recent Annual Benefit Statement (31 Dec YYYY)</t>
  </si>
  <si>
    <t>SINGLE PUBLIC SERVICE PENSION SCHEME (THE "SINGLE SCHEME") 
OUTPUTS</t>
  </si>
  <si>
    <t>By ticking 'I Accept' below, you are acknowledging the disclaimer.</t>
  </si>
  <si>
    <t>Assumptions</t>
  </si>
  <si>
    <t>By ticking 'I Accept' below, you are acknowledging the assumptions.</t>
  </si>
  <si>
    <t>Disclaimer?</t>
  </si>
  <si>
    <t>Assumptions?</t>
  </si>
  <si>
    <t xml:space="preserve">These are the values you entered on the "Inputs" page. If you need to amend the values, please use the "Return to Inputs" button </t>
  </si>
  <si>
    <t>CPI tables until YYYY</t>
  </si>
  <si>
    <t>Enter your current % work pattern, 100% is assumed by default.</t>
  </si>
  <si>
    <t>ASP PEN-12 v1.11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</si>
</sst>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quot;€&quot;#,##0"/>
    <numFmt numFmtId="165" formatCode="0.0%"/>
    <numFmt numFmtId="166" formatCode="&quot;€&quot;#,##0.00"/>
  </numFmts>
  <fonts count="33" x14ac:knownFonts="1">
    <font>
      <sz val="11"/>
      <color theme="1"/>
      <name val="Calibri"/>
      <family val="2"/>
      <scheme val="minor"/>
    </font>
    <font>
      <sz val="11"/>
      <color theme="1"/>
      <name val="Calibri"/>
      <family val="2"/>
      <scheme val="minor"/>
    </font>
    <font>
      <b/>
      <sz val="13"/>
      <color theme="0"/>
      <name val="Verdana"/>
      <family val="2"/>
    </font>
    <font>
      <sz val="10"/>
      <color theme="1"/>
      <name val="Calibri"/>
      <family val="2"/>
      <scheme val="minor"/>
    </font>
    <font>
      <i/>
      <sz val="10"/>
      <color theme="1"/>
      <name val="Calibri"/>
      <family val="2"/>
      <scheme val="minor"/>
    </font>
    <font>
      <i/>
      <sz val="8"/>
      <color theme="1"/>
      <name val="Calibri"/>
      <family val="2"/>
      <scheme val="minor"/>
    </font>
    <font>
      <sz val="10"/>
      <color theme="0"/>
      <name val="Calibri"/>
      <family val="2"/>
      <scheme val="minor"/>
    </font>
    <font>
      <b/>
      <sz val="11"/>
      <color theme="0"/>
      <name val="Verdana"/>
      <family val="2"/>
    </font>
    <font>
      <b/>
      <sz val="8"/>
      <color theme="1"/>
      <name val="Verdana"/>
      <family val="2"/>
    </font>
    <font>
      <i/>
      <sz val="8"/>
      <color theme="1"/>
      <name val="Verdana"/>
      <family val="2"/>
    </font>
    <font>
      <b/>
      <sz val="10"/>
      <color theme="1"/>
      <name val="Calibri"/>
      <family val="2"/>
      <scheme val="minor"/>
    </font>
    <font>
      <sz val="8"/>
      <color theme="1"/>
      <name val="Verdana"/>
      <family val="2"/>
    </font>
    <font>
      <i/>
      <sz val="9"/>
      <color theme="1"/>
      <name val="Calibri"/>
      <family val="2"/>
      <scheme val="minor"/>
    </font>
    <font>
      <b/>
      <sz val="8"/>
      <color rgb="FF006244"/>
      <name val="Verdana"/>
      <family val="2"/>
    </font>
    <font>
      <b/>
      <i/>
      <sz val="8"/>
      <color rgb="FF006244"/>
      <name val="Verdana"/>
      <family val="2"/>
    </font>
    <font>
      <b/>
      <sz val="9"/>
      <color rgb="FF006244"/>
      <name val="Verdana"/>
      <family val="2"/>
    </font>
    <font>
      <sz val="10"/>
      <name val="Arial"/>
      <family val="2"/>
    </font>
    <font>
      <b/>
      <sz val="8"/>
      <name val="Arial"/>
      <family val="2"/>
    </font>
    <font>
      <b/>
      <i/>
      <sz val="8"/>
      <name val="Arial"/>
      <family val="2"/>
    </font>
    <font>
      <sz val="8"/>
      <name val="Arial"/>
      <family val="2"/>
    </font>
    <font>
      <sz val="8"/>
      <color theme="1"/>
      <name val="Calibri"/>
      <family val="2"/>
      <scheme val="minor"/>
    </font>
    <font>
      <sz val="8"/>
      <color theme="1"/>
      <name val="Arial"/>
      <family val="2"/>
    </font>
    <font>
      <b/>
      <sz val="8"/>
      <color theme="0"/>
      <name val="Arial"/>
      <family val="2"/>
    </font>
    <font>
      <b/>
      <sz val="8"/>
      <color theme="1"/>
      <name val="Arial"/>
      <family val="2"/>
    </font>
    <font>
      <sz val="10"/>
      <color theme="1"/>
      <name val="Verdana"/>
      <family val="2"/>
    </font>
    <font>
      <b/>
      <sz val="11"/>
      <color theme="1"/>
      <name val="Calibri"/>
      <family val="2"/>
      <scheme val="minor"/>
    </font>
    <font>
      <i/>
      <sz val="9"/>
      <color theme="1"/>
      <name val="Verdana"/>
      <family val="2"/>
    </font>
    <font>
      <i/>
      <sz val="10"/>
      <color theme="1"/>
      <name val="Verdana"/>
      <family val="2"/>
    </font>
    <font>
      <sz val="9"/>
      <color theme="1"/>
      <name val="Verdana"/>
      <family val="2"/>
    </font>
    <font>
      <b/>
      <i/>
      <sz val="11.5"/>
      <color theme="1"/>
      <name val="Verdana"/>
      <family val="2"/>
    </font>
    <font>
      <b/>
      <sz val="8"/>
      <name val="Verdana"/>
      <family val="2"/>
    </font>
    <font>
      <sz val="8"/>
      <color rgb="FF000000"/>
      <name val="Segoe UI"/>
      <family val="2"/>
    </font>
    <font>
      <sz val="11"/>
      <color rgb="FF000000"/>
      <name val="Calibri"/>
      <family val="2"/>
    </font>
  </fonts>
  <fills count="14">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rgb="FF006244"/>
        <bgColor indexed="64"/>
      </patternFill>
    </fill>
    <fill>
      <patternFill patternType="solid">
        <fgColor theme="5"/>
        <bgColor indexed="64"/>
      </patternFill>
    </fill>
    <fill>
      <patternFill patternType="solid">
        <fgColor rgb="FFFFFF00"/>
        <bgColor indexed="64"/>
      </patternFill>
    </fill>
    <fill>
      <patternFill patternType="solid">
        <fgColor theme="6"/>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C000"/>
        <bgColor indexed="64"/>
      </patternFill>
    </fill>
    <fill>
      <patternFill patternType="solid">
        <fgColor rgb="FF92D050"/>
        <bgColor indexed="64"/>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6" fillId="0" borderId="0"/>
    <xf numFmtId="44" fontId="1" fillId="0" borderId="0" applyFont="0" applyFill="0" applyBorder="0" applyAlignment="0" applyProtection="0"/>
    <xf numFmtId="9" fontId="21" fillId="0" borderId="0" applyFont="0" applyFill="0" applyBorder="0" applyAlignment="0" applyProtection="0"/>
  </cellStyleXfs>
  <cellXfs count="242">
    <xf numFmtId="0" fontId="0" fillId="0" borderId="0" xfId="0"/>
    <xf numFmtId="0" fontId="3" fillId="2" borderId="4" xfId="0" applyFont="1" applyFill="1" applyBorder="1"/>
    <xf numFmtId="0" fontId="3" fillId="2" borderId="0" xfId="0" applyFont="1" applyFill="1"/>
    <xf numFmtId="0" fontId="3" fillId="2" borderId="5" xfId="0" applyFont="1" applyFill="1" applyBorder="1"/>
    <xf numFmtId="0" fontId="4" fillId="2" borderId="4" xfId="0" applyFont="1" applyFill="1" applyBorder="1"/>
    <xf numFmtId="0" fontId="5" fillId="2" borderId="0" xfId="0" applyFont="1" applyFill="1" applyAlignment="1">
      <alignment horizontal="left" wrapText="1"/>
    </xf>
    <xf numFmtId="164" fontId="8" fillId="3" borderId="10" xfId="0" applyNumberFormat="1" applyFont="1" applyFill="1" applyBorder="1" applyAlignment="1" applyProtection="1">
      <alignment horizontal="center" vertical="center" wrapText="1"/>
      <protection locked="0"/>
    </xf>
    <xf numFmtId="0" fontId="9" fillId="2" borderId="0" xfId="0" applyFont="1" applyFill="1" applyAlignment="1">
      <alignment horizontal="left" wrapText="1"/>
    </xf>
    <xf numFmtId="0" fontId="9" fillId="2" borderId="5" xfId="0" applyFont="1" applyFill="1" applyBorder="1" applyAlignment="1">
      <alignment horizontal="left" wrapText="1"/>
    </xf>
    <xf numFmtId="0" fontId="10" fillId="3" borderId="10" xfId="0" applyFont="1" applyFill="1" applyBorder="1" applyAlignment="1">
      <alignment horizontal="center" vertical="center"/>
    </xf>
    <xf numFmtId="164" fontId="8" fillId="3" borderId="10" xfId="0" applyNumberFormat="1" applyFont="1" applyFill="1" applyBorder="1" applyAlignment="1" applyProtection="1">
      <alignment horizontal="center" vertical="center"/>
      <protection locked="0"/>
    </xf>
    <xf numFmtId="9" fontId="8" fillId="3" borderId="10" xfId="2" applyFont="1" applyFill="1" applyBorder="1" applyAlignment="1" applyProtection="1">
      <alignment horizontal="center" vertical="center"/>
      <protection locked="0"/>
    </xf>
    <xf numFmtId="0" fontId="11" fillId="2" borderId="0" xfId="0" applyFont="1" applyFill="1" applyAlignment="1">
      <alignment vertical="center" wrapText="1"/>
    </xf>
    <xf numFmtId="0" fontId="3" fillId="4" borderId="4" xfId="0" applyFont="1" applyFill="1" applyBorder="1"/>
    <xf numFmtId="0" fontId="4" fillId="2" borderId="4" xfId="0" applyFont="1" applyFill="1" applyBorder="1" applyAlignment="1">
      <alignment wrapText="1"/>
    </xf>
    <xf numFmtId="0" fontId="4" fillId="2" borderId="0" xfId="0" applyFont="1" applyFill="1" applyAlignment="1">
      <alignment horizontal="left" wrapText="1"/>
    </xf>
    <xf numFmtId="0" fontId="12" fillId="2" borderId="0" xfId="0" applyFont="1" applyFill="1" applyAlignment="1">
      <alignment horizontal="left" wrapText="1"/>
    </xf>
    <xf numFmtId="0" fontId="12" fillId="2" borderId="5" xfId="0" applyFont="1" applyFill="1" applyBorder="1" applyAlignment="1">
      <alignment horizontal="left" wrapText="1"/>
    </xf>
    <xf numFmtId="0" fontId="6" fillId="5" borderId="4" xfId="0" applyFont="1" applyFill="1" applyBorder="1"/>
    <xf numFmtId="0" fontId="7" fillId="5" borderId="0" xfId="0" applyFont="1" applyFill="1"/>
    <xf numFmtId="0" fontId="6" fillId="5" borderId="0" xfId="0" applyFont="1" applyFill="1"/>
    <xf numFmtId="0" fontId="6" fillId="5" borderId="5" xfId="0" applyFont="1" applyFill="1" applyBorder="1"/>
    <xf numFmtId="0" fontId="13" fillId="2" borderId="9" xfId="0" applyFont="1" applyFill="1" applyBorder="1" applyAlignment="1">
      <alignment horizontal="center" vertical="center"/>
    </xf>
    <xf numFmtId="0" fontId="14" fillId="2" borderId="10" xfId="0" applyFont="1" applyFill="1" applyBorder="1" applyAlignment="1">
      <alignment horizontal="center" vertical="center" wrapText="1"/>
    </xf>
    <xf numFmtId="0" fontId="7" fillId="5" borderId="11" xfId="0" applyFont="1" applyFill="1" applyBorder="1"/>
    <xf numFmtId="0" fontId="13" fillId="2" borderId="10" xfId="0" applyFont="1" applyFill="1" applyBorder="1" applyAlignment="1">
      <alignment horizontal="center" vertical="center"/>
    </xf>
    <xf numFmtId="14" fontId="8" fillId="3" borderId="12" xfId="1" applyNumberFormat="1" applyFont="1" applyFill="1" applyBorder="1" applyAlignment="1" applyProtection="1">
      <alignment horizontal="center" vertical="center"/>
      <protection locked="0"/>
    </xf>
    <xf numFmtId="0" fontId="13" fillId="2" borderId="5" xfId="0" applyFont="1" applyFill="1" applyBorder="1" applyAlignment="1">
      <alignment vertical="center" wrapText="1"/>
    </xf>
    <xf numFmtId="0" fontId="9" fillId="2" borderId="0" xfId="0" applyFont="1" applyFill="1" applyAlignment="1">
      <alignment horizontal="centerContinuous" wrapText="1"/>
    </xf>
    <xf numFmtId="0" fontId="8" fillId="3" borderId="12" xfId="1" applyNumberFormat="1" applyFont="1" applyFill="1" applyBorder="1" applyAlignment="1" applyProtection="1">
      <alignment horizontal="center" vertical="center"/>
      <protection locked="0"/>
    </xf>
    <xf numFmtId="0" fontId="4" fillId="2" borderId="6" xfId="0" applyFont="1" applyFill="1" applyBorder="1" applyAlignment="1">
      <alignment wrapText="1"/>
    </xf>
    <xf numFmtId="0" fontId="4" fillId="2" borderId="7" xfId="0" applyFont="1" applyFill="1" applyBorder="1" applyAlignment="1">
      <alignment horizontal="left" wrapText="1"/>
    </xf>
    <xf numFmtId="0" fontId="3" fillId="2" borderId="7" xfId="0" applyFont="1" applyFill="1" applyBorder="1"/>
    <xf numFmtId="0" fontId="3" fillId="2" borderId="8" xfId="0" applyFont="1" applyFill="1" applyBorder="1"/>
    <xf numFmtId="10" fontId="0" fillId="0" borderId="0" xfId="0" applyNumberFormat="1"/>
    <xf numFmtId="0" fontId="11" fillId="2" borderId="0" xfId="0" applyFont="1" applyFill="1" applyAlignment="1">
      <alignment horizontal="centerContinuous" vertical="center" wrapText="1"/>
    </xf>
    <xf numFmtId="0" fontId="3" fillId="2" borderId="0" xfId="0" applyFont="1" applyFill="1" applyAlignment="1">
      <alignment horizontal="centerContinuous"/>
    </xf>
    <xf numFmtId="0" fontId="3" fillId="2" borderId="5" xfId="0" applyFont="1" applyFill="1" applyBorder="1" applyAlignment="1">
      <alignment horizontal="centerContinuous"/>
    </xf>
    <xf numFmtId="0" fontId="9" fillId="2" borderId="0" xfId="0" applyFont="1" applyFill="1" applyAlignment="1">
      <alignment horizontal="centerContinuous" vertical="center" wrapText="1"/>
    </xf>
    <xf numFmtId="0" fontId="17" fillId="0" borderId="13" xfId="3" applyFont="1" applyBorder="1"/>
    <xf numFmtId="0" fontId="17" fillId="0" borderId="14" xfId="3" applyFont="1" applyBorder="1"/>
    <xf numFmtId="0" fontId="17" fillId="0" borderId="15" xfId="3" applyFont="1" applyBorder="1"/>
    <xf numFmtId="0" fontId="18" fillId="0" borderId="4" xfId="3" applyFont="1" applyBorder="1"/>
    <xf numFmtId="0" fontId="18" fillId="0" borderId="0" xfId="3" applyFont="1"/>
    <xf numFmtId="0" fontId="19" fillId="0" borderId="0" xfId="3" applyFont="1"/>
    <xf numFmtId="0" fontId="19" fillId="0" borderId="16" xfId="3" applyFont="1" applyBorder="1"/>
    <xf numFmtId="0" fontId="19" fillId="0" borderId="4" xfId="3" applyFont="1" applyBorder="1"/>
    <xf numFmtId="10" fontId="19" fillId="6" borderId="17" xfId="3" applyNumberFormat="1" applyFont="1" applyFill="1" applyBorder="1"/>
    <xf numFmtId="0" fontId="19" fillId="0" borderId="17" xfId="3" applyFont="1" applyBorder="1"/>
    <xf numFmtId="2" fontId="19" fillId="7" borderId="17" xfId="3" applyNumberFormat="1" applyFont="1" applyFill="1" applyBorder="1"/>
    <xf numFmtId="2" fontId="19" fillId="0" borderId="17" xfId="3" applyNumberFormat="1" applyFont="1" applyBorder="1"/>
    <xf numFmtId="4" fontId="17" fillId="8" borderId="17" xfId="3" applyNumberFormat="1" applyFont="1" applyFill="1" applyBorder="1"/>
    <xf numFmtId="3" fontId="19" fillId="0" borderId="17" xfId="3" applyNumberFormat="1" applyFont="1" applyBorder="1"/>
    <xf numFmtId="0" fontId="20" fillId="0" borderId="6" xfId="0" applyFont="1" applyBorder="1"/>
    <xf numFmtId="0" fontId="20" fillId="0" borderId="0" xfId="0" applyFont="1"/>
    <xf numFmtId="0" fontId="0" fillId="0" borderId="17" xfId="0" applyBorder="1"/>
    <xf numFmtId="0" fontId="5" fillId="0" borderId="4" xfId="0" applyFont="1" applyBorder="1"/>
    <xf numFmtId="0" fontId="5" fillId="0" borderId="0" xfId="0" applyFont="1"/>
    <xf numFmtId="10" fontId="21" fillId="0" borderId="17" xfId="0" applyNumberFormat="1" applyFont="1" applyBorder="1"/>
    <xf numFmtId="0" fontId="5" fillId="0" borderId="6" xfId="0" applyFont="1" applyBorder="1"/>
    <xf numFmtId="0" fontId="0" fillId="0" borderId="7" xfId="0" applyBorder="1"/>
    <xf numFmtId="10" fontId="0" fillId="0" borderId="8" xfId="0" applyNumberFormat="1" applyBorder="1"/>
    <xf numFmtId="10" fontId="21" fillId="0" borderId="18" xfId="0" applyNumberFormat="1" applyFont="1" applyBorder="1"/>
    <xf numFmtId="10" fontId="19" fillId="0" borderId="0" xfId="3" applyNumberFormat="1" applyFont="1"/>
    <xf numFmtId="0" fontId="17" fillId="0" borderId="1" xfId="3" applyFont="1" applyBorder="1"/>
    <xf numFmtId="0" fontId="0" fillId="0" borderId="2" xfId="0" applyBorder="1"/>
    <xf numFmtId="0" fontId="0" fillId="0" borderId="3" xfId="0" applyBorder="1"/>
    <xf numFmtId="164" fontId="17" fillId="0" borderId="13" xfId="0" applyNumberFormat="1" applyFont="1" applyBorder="1" applyAlignment="1">
      <alignment horizontal="left" vertical="center" wrapText="1"/>
    </xf>
    <xf numFmtId="164" fontId="22" fillId="0" borderId="19" xfId="0" applyNumberFormat="1" applyFont="1" applyBorder="1" applyAlignment="1">
      <alignment horizontal="center" vertical="center" wrapText="1"/>
    </xf>
    <xf numFmtId="164" fontId="17" fillId="0" borderId="15" xfId="0" applyNumberFormat="1" applyFont="1" applyBorder="1" applyAlignment="1">
      <alignment horizontal="center" vertical="center" wrapText="1"/>
    </xf>
    <xf numFmtId="164" fontId="17" fillId="0" borderId="4" xfId="0" applyNumberFormat="1" applyFont="1" applyBorder="1" applyAlignment="1">
      <alignment horizontal="left" vertical="center" wrapText="1"/>
    </xf>
    <xf numFmtId="164" fontId="19" fillId="0" borderId="17" xfId="0" applyNumberFormat="1" applyFont="1" applyBorder="1" applyAlignment="1">
      <alignment horizontal="center" vertical="center" wrapText="1"/>
    </xf>
    <xf numFmtId="9" fontId="19" fillId="0" borderId="5" xfId="2" applyFont="1" applyFill="1" applyBorder="1" applyAlignment="1">
      <alignment horizontal="center" vertical="center" wrapText="1"/>
    </xf>
    <xf numFmtId="10" fontId="19" fillId="0" borderId="5" xfId="2" applyNumberFormat="1" applyFont="1" applyFill="1" applyBorder="1" applyAlignment="1">
      <alignment horizontal="center" vertical="center" wrapText="1"/>
    </xf>
    <xf numFmtId="164" fontId="17" fillId="0" borderId="6" xfId="0" applyNumberFormat="1" applyFont="1" applyBorder="1" applyAlignment="1">
      <alignment horizontal="left" vertical="center" wrapText="1"/>
    </xf>
    <xf numFmtId="164" fontId="19" fillId="0" borderId="18" xfId="0" applyNumberFormat="1" applyFont="1" applyBorder="1" applyAlignment="1">
      <alignment horizontal="center" vertical="center" wrapText="1"/>
    </xf>
    <xf numFmtId="165" fontId="19" fillId="0" borderId="8" xfId="2" applyNumberFormat="1" applyFont="1" applyFill="1" applyBorder="1" applyAlignment="1">
      <alignment horizontal="center" vertical="center" wrapText="1"/>
    </xf>
    <xf numFmtId="0" fontId="0" fillId="0" borderId="15" xfId="0" applyBorder="1"/>
    <xf numFmtId="0" fontId="23" fillId="0" borderId="4" xfId="0" applyFont="1" applyBorder="1" applyAlignment="1">
      <alignment horizontal="left"/>
    </xf>
    <xf numFmtId="0" fontId="21" fillId="0" borderId="5" xfId="0" applyFont="1" applyBorder="1" applyAlignment="1">
      <alignment horizontal="right"/>
    </xf>
    <xf numFmtId="0" fontId="21" fillId="0" borderId="5" xfId="0" applyFont="1" applyBorder="1"/>
    <xf numFmtId="0" fontId="20" fillId="0" borderId="5" xfId="0" applyFont="1" applyBorder="1"/>
    <xf numFmtId="0" fontId="23" fillId="0" borderId="6" xfId="0" applyFont="1" applyBorder="1" applyAlignment="1">
      <alignment horizontal="left"/>
    </xf>
    <xf numFmtId="14" fontId="21" fillId="0" borderId="0" xfId="0" applyNumberFormat="1" applyFont="1"/>
    <xf numFmtId="14" fontId="21" fillId="0" borderId="5" xfId="0" applyNumberFormat="1" applyFont="1" applyBorder="1"/>
    <xf numFmtId="0" fontId="19" fillId="9" borderId="4" xfId="3" applyFont="1" applyFill="1" applyBorder="1"/>
    <xf numFmtId="14" fontId="21" fillId="9" borderId="0" xfId="0" applyNumberFormat="1" applyFont="1" applyFill="1"/>
    <xf numFmtId="14" fontId="21" fillId="7" borderId="0" xfId="0" applyNumberFormat="1" applyFont="1" applyFill="1"/>
    <xf numFmtId="14" fontId="21" fillId="9" borderId="5" xfId="0" applyNumberFormat="1" applyFont="1" applyFill="1" applyBorder="1"/>
    <xf numFmtId="0" fontId="19" fillId="0" borderId="6" xfId="3" applyFont="1" applyBorder="1"/>
    <xf numFmtId="14" fontId="21" fillId="0" borderId="7" xfId="0" applyNumberFormat="1" applyFont="1" applyBorder="1"/>
    <xf numFmtId="14" fontId="21" fillId="0" borderId="8" xfId="0" applyNumberFormat="1" applyFont="1" applyBorder="1"/>
    <xf numFmtId="0" fontId="23" fillId="0" borderId="1" xfId="0" applyFont="1" applyBorder="1"/>
    <xf numFmtId="0" fontId="21" fillId="0" borderId="2" xfId="0" applyFont="1" applyBorder="1"/>
    <xf numFmtId="0" fontId="23" fillId="10" borderId="1" xfId="0" applyFont="1" applyFill="1" applyBorder="1"/>
    <xf numFmtId="0" fontId="23" fillId="10" borderId="2" xfId="0" applyFont="1" applyFill="1" applyBorder="1"/>
    <xf numFmtId="0" fontId="23" fillId="10" borderId="3" xfId="0" applyFont="1" applyFill="1" applyBorder="1"/>
    <xf numFmtId="0" fontId="21" fillId="0" borderId="4" xfId="0" applyFont="1" applyBorder="1"/>
    <xf numFmtId="0" fontId="21" fillId="0" borderId="0" xfId="0" applyFont="1"/>
    <xf numFmtId="0" fontId="21" fillId="0" borderId="6" xfId="0" applyFont="1" applyBorder="1"/>
    <xf numFmtId="14" fontId="21" fillId="7" borderId="7" xfId="0" applyNumberFormat="1" applyFont="1" applyFill="1" applyBorder="1"/>
    <xf numFmtId="0" fontId="21" fillId="0" borderId="7" xfId="0" applyFont="1" applyBorder="1"/>
    <xf numFmtId="0" fontId="21" fillId="0" borderId="8" xfId="0" applyFont="1" applyBorder="1"/>
    <xf numFmtId="0" fontId="5" fillId="0" borderId="13" xfId="0" applyFont="1" applyBorder="1"/>
    <xf numFmtId="0" fontId="0" fillId="0" borderId="14" xfId="0" applyBorder="1"/>
    <xf numFmtId="0" fontId="19" fillId="0" borderId="1" xfId="3" applyFont="1" applyBorder="1"/>
    <xf numFmtId="10" fontId="19" fillId="6" borderId="16" xfId="3" applyNumberFormat="1" applyFont="1" applyFill="1" applyBorder="1"/>
    <xf numFmtId="10" fontId="19" fillId="6" borderId="18" xfId="3" applyNumberFormat="1" applyFont="1" applyFill="1" applyBorder="1"/>
    <xf numFmtId="0" fontId="0" fillId="11" borderId="17" xfId="0" applyFill="1" applyBorder="1"/>
    <xf numFmtId="0" fontId="9" fillId="2" borderId="5" xfId="0" applyFont="1" applyFill="1" applyBorder="1" applyAlignment="1">
      <alignment horizontal="centerContinuous" wrapText="1"/>
    </xf>
    <xf numFmtId="0" fontId="13" fillId="2" borderId="2" xfId="0" applyFont="1" applyFill="1" applyBorder="1" applyAlignment="1">
      <alignment vertical="center" wrapText="1"/>
    </xf>
    <xf numFmtId="0" fontId="13" fillId="2" borderId="3" xfId="0" applyFont="1" applyFill="1" applyBorder="1" applyAlignment="1">
      <alignment vertical="center" wrapText="1"/>
    </xf>
    <xf numFmtId="0" fontId="13" fillId="4" borderId="1" xfId="0" applyFont="1" applyFill="1" applyBorder="1" applyAlignment="1">
      <alignment vertical="center" wrapText="1"/>
    </xf>
    <xf numFmtId="0" fontId="0" fillId="4" borderId="4" xfId="0" applyFill="1" applyBorder="1"/>
    <xf numFmtId="0" fontId="0" fillId="4" borderId="0" xfId="0" applyFill="1"/>
    <xf numFmtId="0" fontId="0" fillId="4" borderId="5" xfId="0" applyFill="1" applyBorder="1"/>
    <xf numFmtId="0" fontId="0" fillId="4" borderId="6" xfId="0" applyFill="1" applyBorder="1"/>
    <xf numFmtId="0" fontId="0" fillId="4" borderId="7" xfId="0" applyFill="1" applyBorder="1"/>
    <xf numFmtId="0" fontId="0" fillId="4" borderId="8" xfId="0" applyFill="1" applyBorder="1"/>
    <xf numFmtId="0" fontId="3" fillId="2" borderId="11" xfId="0" applyFont="1" applyFill="1" applyBorder="1"/>
    <xf numFmtId="0" fontId="24" fillId="2" borderId="11" xfId="0" applyFont="1" applyFill="1" applyBorder="1"/>
    <xf numFmtId="166" fontId="8" fillId="3" borderId="12" xfId="1" applyNumberFormat="1" applyFont="1" applyFill="1" applyBorder="1" applyAlignment="1" applyProtection="1">
      <alignment horizontal="center" vertical="center"/>
      <protection locked="0"/>
    </xf>
    <xf numFmtId="0" fontId="0" fillId="3" borderId="0" xfId="0" applyFill="1"/>
    <xf numFmtId="0" fontId="28" fillId="4" borderId="0" xfId="0" applyFont="1" applyFill="1"/>
    <xf numFmtId="0" fontId="26" fillId="4" borderId="0" xfId="0" applyFont="1" applyFill="1" applyAlignment="1">
      <alignment horizontal="left" wrapText="1"/>
    </xf>
    <xf numFmtId="0" fontId="28" fillId="2" borderId="5" xfId="0" applyFont="1" applyFill="1" applyBorder="1"/>
    <xf numFmtId="0" fontId="9" fillId="4" borderId="0" xfId="0" applyFont="1" applyFill="1" applyAlignment="1">
      <alignment horizontal="centerContinuous" wrapText="1"/>
    </xf>
    <xf numFmtId="0" fontId="28" fillId="4" borderId="0" xfId="0" applyFont="1" applyFill="1" applyAlignment="1">
      <alignment horizontal="centerContinuous"/>
    </xf>
    <xf numFmtId="14" fontId="6" fillId="5" borderId="0" xfId="0" applyNumberFormat="1" applyFont="1" applyFill="1"/>
    <xf numFmtId="0" fontId="4" fillId="12" borderId="4" xfId="0" applyFont="1" applyFill="1" applyBorder="1"/>
    <xf numFmtId="0" fontId="28" fillId="12" borderId="5" xfId="0" applyFont="1" applyFill="1" applyBorder="1"/>
    <xf numFmtId="0" fontId="30" fillId="3" borderId="1" xfId="0" applyFont="1" applyFill="1" applyBorder="1"/>
    <xf numFmtId="0" fontId="30" fillId="3" borderId="2" xfId="0" applyFont="1" applyFill="1" applyBorder="1" applyAlignment="1">
      <alignment horizontal="center" vertical="center"/>
    </xf>
    <xf numFmtId="0" fontId="30" fillId="3" borderId="3" xfId="0" applyFont="1" applyFill="1" applyBorder="1" applyAlignment="1">
      <alignment horizontal="center" vertical="center"/>
    </xf>
    <xf numFmtId="0" fontId="30" fillId="3" borderId="4" xfId="0" applyFont="1" applyFill="1" applyBorder="1"/>
    <xf numFmtId="0" fontId="8" fillId="3" borderId="0" xfId="0" applyFont="1" applyFill="1"/>
    <xf numFmtId="0" fontId="21" fillId="3" borderId="5" xfId="0" applyFont="1" applyFill="1" applyBorder="1"/>
    <xf numFmtId="0" fontId="21" fillId="3" borderId="0" xfId="0" applyFont="1" applyFill="1"/>
    <xf numFmtId="9" fontId="8" fillId="3" borderId="5" xfId="0" applyNumberFormat="1" applyFont="1" applyFill="1" applyBorder="1"/>
    <xf numFmtId="0" fontId="8" fillId="0" borderId="6" xfId="0" applyFont="1" applyBorder="1"/>
    <xf numFmtId="0" fontId="8" fillId="0" borderId="7" xfId="0" applyFont="1" applyBorder="1"/>
    <xf numFmtId="0" fontId="21" fillId="3" borderId="8" xfId="0" applyFont="1" applyFill="1" applyBorder="1"/>
    <xf numFmtId="0" fontId="21" fillId="3" borderId="7" xfId="0" applyFont="1" applyFill="1" applyBorder="1"/>
    <xf numFmtId="0" fontId="8" fillId="0" borderId="8" xfId="0" applyFont="1" applyBorder="1"/>
    <xf numFmtId="14" fontId="8" fillId="3" borderId="5" xfId="0" applyNumberFormat="1" applyFont="1" applyFill="1" applyBorder="1"/>
    <xf numFmtId="9" fontId="21" fillId="3" borderId="0" xfId="0" applyNumberFormat="1" applyFont="1" applyFill="1"/>
    <xf numFmtId="164" fontId="8" fillId="3" borderId="5" xfId="4" applyNumberFormat="1" applyFont="1" applyFill="1" applyBorder="1" applyAlignment="1">
      <alignment horizontal="right"/>
    </xf>
    <xf numFmtId="0" fontId="17" fillId="0" borderId="13" xfId="3" applyFont="1" applyBorder="1" applyAlignment="1">
      <alignment horizontal="center"/>
    </xf>
    <xf numFmtId="0" fontId="17" fillId="0" borderId="19" xfId="3" applyFont="1" applyBorder="1"/>
    <xf numFmtId="0" fontId="17" fillId="0" borderId="14" xfId="3" applyFont="1" applyBorder="1" applyAlignment="1">
      <alignment horizontal="center"/>
    </xf>
    <xf numFmtId="0" fontId="17" fillId="0" borderId="4" xfId="3" applyFont="1" applyBorder="1" applyAlignment="1">
      <alignment horizontal="center"/>
    </xf>
    <xf numFmtId="0" fontId="17" fillId="0" borderId="0" xfId="3" applyFont="1" applyAlignment="1">
      <alignment horizontal="center"/>
    </xf>
    <xf numFmtId="0" fontId="17" fillId="0" borderId="5" xfId="3" applyFont="1" applyBorder="1" applyAlignment="1">
      <alignment horizontal="center"/>
    </xf>
    <xf numFmtId="0" fontId="17" fillId="0" borderId="17" xfId="3" applyFont="1" applyBorder="1" applyAlignment="1">
      <alignment horizontal="center"/>
    </xf>
    <xf numFmtId="0" fontId="0" fillId="0" borderId="4" xfId="0" applyBorder="1"/>
    <xf numFmtId="0" fontId="17" fillId="0" borderId="1" xfId="3" applyFont="1" applyBorder="1" applyAlignment="1">
      <alignment horizontal="center"/>
    </xf>
    <xf numFmtId="0" fontId="17" fillId="0" borderId="2" xfId="3" applyFont="1" applyBorder="1" applyAlignment="1">
      <alignment horizontal="center" wrapText="1"/>
    </xf>
    <xf numFmtId="0" fontId="17" fillId="0" borderId="3" xfId="3" applyFont="1" applyBorder="1" applyAlignment="1">
      <alignment horizontal="center"/>
    </xf>
    <xf numFmtId="0" fontId="19" fillId="0" borderId="4" xfId="3" applyFont="1" applyBorder="1" applyAlignment="1">
      <alignment horizontal="center"/>
    </xf>
    <xf numFmtId="0" fontId="19" fillId="0" borderId="0" xfId="3" applyFont="1" applyAlignment="1">
      <alignment horizontal="center"/>
    </xf>
    <xf numFmtId="0" fontId="19" fillId="0" borderId="5" xfId="3" applyFont="1" applyBorder="1" applyAlignment="1">
      <alignment horizontal="center"/>
    </xf>
    <xf numFmtId="0" fontId="19" fillId="0" borderId="17" xfId="3" applyFont="1" applyBorder="1" applyAlignment="1">
      <alignment horizontal="center"/>
    </xf>
    <xf numFmtId="0" fontId="19" fillId="0" borderId="6" xfId="3" applyFont="1" applyBorder="1" applyAlignment="1">
      <alignment horizontal="center"/>
    </xf>
    <xf numFmtId="0" fontId="19" fillId="0" borderId="7" xfId="3" applyFont="1" applyBorder="1" applyAlignment="1">
      <alignment horizontal="center"/>
    </xf>
    <xf numFmtId="0" fontId="19" fillId="0" borderId="8" xfId="3" applyFont="1" applyBorder="1" applyAlignment="1">
      <alignment horizontal="center"/>
    </xf>
    <xf numFmtId="3" fontId="17" fillId="0" borderId="6" xfId="3" applyNumberFormat="1" applyFont="1" applyBorder="1"/>
    <xf numFmtId="3" fontId="17" fillId="0" borderId="7" xfId="3" applyNumberFormat="1" applyFont="1" applyBorder="1"/>
    <xf numFmtId="165" fontId="19" fillId="0" borderId="1" xfId="5" applyNumberFormat="1" applyFont="1" applyFill="1" applyBorder="1"/>
    <xf numFmtId="165" fontId="19" fillId="0" borderId="3" xfId="5" applyNumberFormat="1" applyFont="1" applyFill="1" applyBorder="1"/>
    <xf numFmtId="3" fontId="17" fillId="0" borderId="4" xfId="3" applyNumberFormat="1" applyFont="1" applyBorder="1"/>
    <xf numFmtId="3" fontId="17" fillId="0" borderId="0" xfId="3" applyNumberFormat="1" applyFont="1"/>
    <xf numFmtId="0" fontId="19" fillId="0" borderId="3" xfId="3" applyFont="1" applyBorder="1" applyAlignment="1">
      <alignment horizontal="center"/>
    </xf>
    <xf numFmtId="10" fontId="19" fillId="6" borderId="19" xfId="5" applyNumberFormat="1" applyFont="1" applyFill="1" applyBorder="1"/>
    <xf numFmtId="0" fontId="19" fillId="9" borderId="13" xfId="3" applyFont="1" applyFill="1" applyBorder="1"/>
    <xf numFmtId="3" fontId="17" fillId="8" borderId="13" xfId="3" applyNumberFormat="1" applyFont="1" applyFill="1" applyBorder="1"/>
    <xf numFmtId="14" fontId="0" fillId="0" borderId="0" xfId="4" applyNumberFormat="1" applyFont="1"/>
    <xf numFmtId="10" fontId="19" fillId="9" borderId="13" xfId="3" applyNumberFormat="1" applyFont="1" applyFill="1" applyBorder="1"/>
    <xf numFmtId="166" fontId="0" fillId="0" borderId="0" xfId="0" applyNumberFormat="1"/>
    <xf numFmtId="166" fontId="19" fillId="9" borderId="13" xfId="3" applyNumberFormat="1" applyFont="1" applyFill="1" applyBorder="1"/>
    <xf numFmtId="166" fontId="19" fillId="9" borderId="14" xfId="3" applyNumberFormat="1" applyFont="1" applyFill="1" applyBorder="1"/>
    <xf numFmtId="166" fontId="19" fillId="9" borderId="15" xfId="3" applyNumberFormat="1" applyFont="1" applyFill="1" applyBorder="1"/>
    <xf numFmtId="0" fontId="17" fillId="0" borderId="19" xfId="3" applyFont="1" applyBorder="1" applyAlignment="1">
      <alignment horizontal="center"/>
    </xf>
    <xf numFmtId="0" fontId="19" fillId="0" borderId="16" xfId="3" applyFont="1" applyBorder="1" applyAlignment="1">
      <alignment horizontal="center"/>
    </xf>
    <xf numFmtId="3" fontId="17" fillId="0" borderId="16" xfId="3" applyNumberFormat="1" applyFont="1" applyBorder="1"/>
    <xf numFmtId="0" fontId="17" fillId="0" borderId="13" xfId="3" applyFont="1" applyBorder="1" applyAlignment="1">
      <alignment horizontal="centerContinuous"/>
    </xf>
    <xf numFmtId="0" fontId="17" fillId="0" borderId="15" xfId="3" applyFont="1" applyBorder="1" applyAlignment="1">
      <alignment horizontal="centerContinuous"/>
    </xf>
    <xf numFmtId="166" fontId="19" fillId="9" borderId="19" xfId="3" applyNumberFormat="1" applyFont="1" applyFill="1" applyBorder="1"/>
    <xf numFmtId="0" fontId="25" fillId="0" borderId="0" xfId="0" applyFont="1"/>
    <xf numFmtId="0" fontId="17" fillId="0" borderId="0" xfId="3" applyFont="1"/>
    <xf numFmtId="3" fontId="19" fillId="0" borderId="4" xfId="3" applyNumberFormat="1" applyFont="1" applyBorder="1"/>
    <xf numFmtId="0" fontId="19" fillId="6" borderId="16" xfId="3" applyFont="1" applyFill="1" applyBorder="1"/>
    <xf numFmtId="0" fontId="0" fillId="0" borderId="16" xfId="0" applyBorder="1"/>
    <xf numFmtId="0" fontId="19" fillId="9" borderId="1" xfId="3" applyFont="1" applyFill="1" applyBorder="1"/>
    <xf numFmtId="164" fontId="19" fillId="6" borderId="16" xfId="3" applyNumberFormat="1" applyFont="1" applyFill="1" applyBorder="1"/>
    <xf numFmtId="164" fontId="19" fillId="6" borderId="17" xfId="3" applyNumberFormat="1" applyFont="1" applyFill="1" applyBorder="1"/>
    <xf numFmtId="164" fontId="19" fillId="8" borderId="17" xfId="3" applyNumberFormat="1" applyFont="1" applyFill="1" applyBorder="1"/>
    <xf numFmtId="164" fontId="19" fillId="8" borderId="18" xfId="3" applyNumberFormat="1" applyFont="1" applyFill="1" applyBorder="1"/>
    <xf numFmtId="14" fontId="19" fillId="8" borderId="18" xfId="3" applyNumberFormat="1" applyFont="1" applyFill="1" applyBorder="1"/>
    <xf numFmtId="14" fontId="19" fillId="8" borderId="17" xfId="3" applyNumberFormat="1" applyFont="1" applyFill="1" applyBorder="1"/>
    <xf numFmtId="0" fontId="21" fillId="0" borderId="8" xfId="0" applyFont="1" applyBorder="1" applyAlignment="1">
      <alignment horizontal="right"/>
    </xf>
    <xf numFmtId="0" fontId="4" fillId="2" borderId="6" xfId="0" applyFont="1" applyFill="1" applyBorder="1"/>
    <xf numFmtId="0" fontId="28" fillId="4" borderId="7" xfId="0" applyFont="1" applyFill="1" applyBorder="1"/>
    <xf numFmtId="0" fontId="28" fillId="2" borderId="8" xfId="0" applyFont="1" applyFill="1" applyBorder="1"/>
    <xf numFmtId="0" fontId="0" fillId="0" borderId="0" xfId="0" quotePrefix="1"/>
    <xf numFmtId="0" fontId="4" fillId="2" borderId="0" xfId="0" applyFont="1" applyFill="1" applyAlignment="1">
      <alignment horizontal="centerContinuous"/>
    </xf>
    <xf numFmtId="0" fontId="0" fillId="12" borderId="16" xfId="0" applyFill="1" applyBorder="1"/>
    <xf numFmtId="10" fontId="0" fillId="12" borderId="16" xfId="0" applyNumberFormat="1" applyFill="1" applyBorder="1"/>
    <xf numFmtId="166" fontId="0" fillId="12" borderId="16" xfId="0" applyNumberFormat="1" applyFill="1" applyBorder="1"/>
    <xf numFmtId="10" fontId="0" fillId="0" borderId="17" xfId="0" applyNumberFormat="1" applyBorder="1"/>
    <xf numFmtId="166" fontId="0" fillId="0" borderId="17" xfId="0" applyNumberFormat="1" applyBorder="1"/>
    <xf numFmtId="0" fontId="0" fillId="0" borderId="18" xfId="0" applyBorder="1"/>
    <xf numFmtId="10" fontId="0" fillId="0" borderId="18" xfId="0" applyNumberFormat="1" applyBorder="1"/>
    <xf numFmtId="166" fontId="0" fillId="0" borderId="18" xfId="0" applyNumberFormat="1" applyBorder="1"/>
    <xf numFmtId="166" fontId="8" fillId="3" borderId="10" xfId="2" applyNumberFormat="1" applyFont="1" applyFill="1" applyBorder="1" applyAlignment="1" applyProtection="1">
      <alignment horizontal="center" vertical="center"/>
      <protection locked="0"/>
    </xf>
    <xf numFmtId="0" fontId="0" fillId="0" borderId="19" xfId="0" applyBorder="1"/>
    <xf numFmtId="0" fontId="0" fillId="13" borderId="0" xfId="0" applyFill="1"/>
    <xf numFmtId="166" fontId="19" fillId="11" borderId="15" xfId="3" applyNumberFormat="1" applyFont="1" applyFill="1" applyBorder="1"/>
    <xf numFmtId="0" fontId="0" fillId="11" borderId="19" xfId="0" applyFill="1" applyBorder="1"/>
    <xf numFmtId="0" fontId="20" fillId="0" borderId="8" xfId="0" applyFont="1" applyBorder="1"/>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9" fillId="2" borderId="0" xfId="0" applyFont="1" applyFill="1" applyAlignment="1">
      <alignment horizontal="left" wrapText="1"/>
    </xf>
    <xf numFmtId="0" fontId="9" fillId="2" borderId="5" xfId="0" applyFont="1" applyFill="1" applyBorder="1" applyAlignment="1">
      <alignment horizontal="left" wrapText="1"/>
    </xf>
    <xf numFmtId="164" fontId="30" fillId="3" borderId="2" xfId="0" applyNumberFormat="1" applyFont="1" applyFill="1" applyBorder="1" applyAlignment="1">
      <alignment horizontal="right" vertical="center" wrapText="1"/>
    </xf>
    <xf numFmtId="0" fontId="30" fillId="3" borderId="3" xfId="0" applyFont="1" applyFill="1" applyBorder="1" applyAlignment="1">
      <alignment horizontal="right" vertical="center" wrapText="1"/>
    </xf>
    <xf numFmtId="0" fontId="26" fillId="4" borderId="0" xfId="0" applyFont="1" applyFill="1" applyAlignment="1">
      <alignment horizontal="left" wrapText="1"/>
    </xf>
    <xf numFmtId="0" fontId="26" fillId="4" borderId="0" xfId="0" applyFont="1" applyFill="1" applyAlignment="1">
      <alignment horizontal="left" vertical="center" wrapText="1"/>
    </xf>
    <xf numFmtId="0" fontId="27" fillId="4" borderId="0" xfId="0" applyFont="1" applyFill="1" applyAlignment="1">
      <alignment horizontal="left" wrapText="1"/>
    </xf>
    <xf numFmtId="0" fontId="29" fillId="12" borderId="0" xfId="0" applyFont="1" applyFill="1" applyAlignment="1">
      <alignment horizontal="left" vertical="center" wrapText="1"/>
    </xf>
    <xf numFmtId="0" fontId="17" fillId="0" borderId="13" xfId="3" applyFont="1" applyBorder="1" applyAlignment="1">
      <alignment horizontal="center"/>
    </xf>
    <xf numFmtId="0" fontId="17" fillId="0" borderId="14" xfId="3" applyFont="1" applyBorder="1" applyAlignment="1">
      <alignment horizontal="center"/>
    </xf>
    <xf numFmtId="0" fontId="17" fillId="0" borderId="15" xfId="3" applyFont="1" applyBorder="1" applyAlignment="1">
      <alignment horizontal="center"/>
    </xf>
    <xf numFmtId="0" fontId="17" fillId="0" borderId="13" xfId="3" applyFont="1" applyBorder="1" applyAlignment="1">
      <alignment horizontal="center" wrapText="1"/>
    </xf>
    <xf numFmtId="0" fontId="17" fillId="0" borderId="15" xfId="3" applyFont="1" applyBorder="1" applyAlignment="1">
      <alignment horizontal="center" wrapText="1"/>
    </xf>
  </cellXfs>
  <cellStyles count="6">
    <cellStyle name="Comma" xfId="1" builtinId="3"/>
    <cellStyle name="Currency" xfId="4" builtinId="4"/>
    <cellStyle name="Normal" xfId="0" builtinId="0"/>
    <cellStyle name="Normal 2 2" xfId="3" xr:uid="{DA7C7235-659D-48D0-A26D-45FC037FB004}"/>
    <cellStyle name="Per cent" xfId="2" builtinId="5"/>
    <cellStyle name="Percent 3" xfId="5" xr:uid="{A491AEA5-67D3-4E95-B723-29F3D9E4DFE7}"/>
  </cellStyles>
  <dxfs count="0"/>
  <tableStyles count="0" defaultTableStyle="TableStyleMedium2" defaultPivotStyle="PivotStyleLight16"/>
  <colors>
    <mruColors>
      <color rgb="FF006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Lists!$F$3"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fmlaLink="Lists!$G$3"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singlepensionscheme.gov.ie/for-members" TargetMode="External"/></Relationships>
</file>

<file path=xl/drawings/drawing1.xml><?xml version="1.0" encoding="utf-8"?>
<xdr:wsDr xmlns:xdr="http://schemas.openxmlformats.org/drawingml/2006/spreadsheetDrawing" xmlns:a="http://schemas.openxmlformats.org/drawingml/2006/main">
  <xdr:twoCellAnchor>
    <xdr:from>
      <xdr:col>1</xdr:col>
      <xdr:colOff>57150</xdr:colOff>
      <xdr:row>4</xdr:row>
      <xdr:rowOff>47625</xdr:rowOff>
    </xdr:from>
    <xdr:to>
      <xdr:col>7</xdr:col>
      <xdr:colOff>466725</xdr:colOff>
      <xdr:row>37</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2F3E4764-7DE7-4ACD-ADF0-A02BA06BF9EA}"/>
            </a:ext>
          </a:extLst>
        </xdr:cNvPr>
        <xdr:cNvSpPr txBox="1"/>
      </xdr:nvSpPr>
      <xdr:spPr>
        <a:xfrm>
          <a:off x="7010400" y="923925"/>
          <a:ext cx="5334000" cy="1055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100" b="1">
              <a:solidFill>
                <a:srgbClr val="FF0000"/>
              </a:solidFill>
              <a:effectLst/>
              <a:latin typeface="+mn-lt"/>
              <a:ea typeface="+mn-ea"/>
              <a:cs typeface="+mn-cs"/>
            </a:rPr>
            <a:t>Please read the Disclaimer and Guidance Notes</a:t>
          </a:r>
          <a:r>
            <a:rPr lang="en-IE" sz="1100" b="1" baseline="0">
              <a:solidFill>
                <a:srgbClr val="FF0000"/>
              </a:solidFill>
              <a:effectLst/>
              <a:latin typeface="+mn-lt"/>
              <a:ea typeface="+mn-ea"/>
              <a:cs typeface="+mn-cs"/>
            </a:rPr>
            <a:t> c</a:t>
          </a:r>
          <a:r>
            <a:rPr lang="en-IE" sz="1100" b="1">
              <a:solidFill>
                <a:srgbClr val="FF0000"/>
              </a:solidFill>
              <a:effectLst/>
              <a:latin typeface="+mn-lt"/>
              <a:ea typeface="+mn-ea"/>
              <a:cs typeface="+mn-cs"/>
            </a:rPr>
            <a:t>arefully. You will need to tick</a:t>
          </a:r>
          <a:r>
            <a:rPr lang="en-IE" sz="1100" b="1" baseline="0">
              <a:solidFill>
                <a:srgbClr val="FF0000"/>
              </a:solidFill>
              <a:effectLst/>
              <a:latin typeface="+mn-lt"/>
              <a:ea typeface="+mn-ea"/>
              <a:cs typeface="+mn-cs"/>
            </a:rPr>
            <a:t> 'I Accept'</a:t>
          </a:r>
          <a:r>
            <a:rPr lang="en-IE" sz="1100" b="1">
              <a:solidFill>
                <a:srgbClr val="FF0000"/>
              </a:solidFill>
              <a:effectLst/>
              <a:latin typeface="+mn-lt"/>
              <a:ea typeface="+mn-ea"/>
              <a:cs typeface="+mn-cs"/>
            </a:rPr>
            <a:t> below to proceed.</a:t>
          </a:r>
          <a:endParaRPr lang="en-IE">
            <a:solidFill>
              <a:srgbClr val="FF0000"/>
            </a:solidFill>
            <a:effectLst/>
          </a:endParaRPr>
        </a:p>
        <a:p>
          <a:r>
            <a:rPr lang="en-IE" sz="1100" b="1">
              <a:solidFill>
                <a:schemeClr val="dk1"/>
              </a:solidFill>
              <a:effectLst/>
              <a:latin typeface="+mn-lt"/>
              <a:ea typeface="+mn-ea"/>
              <a:cs typeface="+mn-cs"/>
            </a:rPr>
            <a:t>Disclaimer</a:t>
          </a:r>
          <a:endParaRPr lang="en-IE">
            <a:effectLst/>
          </a:endParaRPr>
        </a:p>
        <a:p>
          <a:pPr marL="171450" indent="-171450" eaLnBrk="1" fontAlgn="auto" latinLnBrk="0" hangingPunct="1">
            <a:buFont typeface="Arial" panose="020B0604020202020204" pitchFamily="34" charset="0"/>
            <a:buChar char="•"/>
          </a:pPr>
          <a:r>
            <a:rPr lang="en-IE" sz="1100">
              <a:solidFill>
                <a:schemeClr val="dk1"/>
              </a:solidFill>
              <a:effectLst/>
              <a:latin typeface="+mn-lt"/>
              <a:ea typeface="+mn-ea"/>
              <a:cs typeface="+mn-cs"/>
            </a:rPr>
            <a:t>This Estimator Tool is designed to give a </a:t>
          </a:r>
          <a:r>
            <a:rPr lang="en-IE" sz="1100" b="1">
              <a:solidFill>
                <a:schemeClr val="dk1"/>
              </a:solidFill>
              <a:effectLst/>
              <a:latin typeface="+mn-lt"/>
              <a:ea typeface="+mn-ea"/>
              <a:cs typeface="+mn-cs"/>
            </a:rPr>
            <a:t>broad indication of retirement benefits at the normal retirement age for </a:t>
          </a:r>
          <a:r>
            <a:rPr lang="en-IE" sz="1100">
              <a:solidFill>
                <a:schemeClr val="dk1"/>
              </a:solidFill>
              <a:effectLst/>
              <a:latin typeface="+mn-lt"/>
              <a:ea typeface="+mn-ea"/>
              <a:cs typeface="+mn-cs"/>
            </a:rPr>
            <a:t>Standard Accrual members (including Retained Firefighters), Fast Accrual (Uniformed) members</a:t>
          </a:r>
          <a:r>
            <a:rPr lang="en-IE" sz="1100" baseline="0">
              <a:solidFill>
                <a:schemeClr val="dk1"/>
              </a:solidFill>
              <a:effectLst/>
              <a:latin typeface="+mn-lt"/>
              <a:ea typeface="+mn-ea"/>
              <a:cs typeface="+mn-cs"/>
            </a:rPr>
            <a:t> and </a:t>
          </a:r>
          <a:r>
            <a:rPr lang="en-IE" sz="1100">
              <a:solidFill>
                <a:schemeClr val="dk1"/>
              </a:solidFill>
              <a:effectLst/>
              <a:latin typeface="+mn-lt"/>
              <a:ea typeface="+mn-ea"/>
              <a:cs typeface="+mn-cs"/>
            </a:rPr>
            <a:t>Members of the Judiciary who are</a:t>
          </a:r>
          <a:r>
            <a:rPr lang="en-IE" sz="1100" b="1">
              <a:solidFill>
                <a:schemeClr val="dk1"/>
              </a:solidFill>
              <a:effectLst/>
              <a:latin typeface="+mn-lt"/>
              <a:ea typeface="+mn-ea"/>
              <a:cs typeface="+mn-cs"/>
            </a:rPr>
            <a:t> members of the Single Scheme</a:t>
          </a:r>
          <a:r>
            <a:rPr lang="en-IE" sz="1100">
              <a:solidFill>
                <a:schemeClr val="dk1"/>
              </a:solidFill>
              <a:effectLst/>
              <a:latin typeface="+mn-lt"/>
              <a:ea typeface="+mn-ea"/>
              <a:cs typeface="+mn-cs"/>
            </a:rPr>
            <a:t>. Fast Accrual (Uniformed) members will be required to input the relevant normal retirement age manually. </a:t>
          </a:r>
          <a:endParaRPr lang="en-IE">
            <a:effectLst/>
          </a:endParaRPr>
        </a:p>
        <a:p>
          <a:pPr marL="171450" indent="-171450">
            <a:buFont typeface="Arial" panose="020B0604020202020204" pitchFamily="34" charset="0"/>
            <a:buChar char="•"/>
          </a:pPr>
          <a:r>
            <a:rPr lang="en-IE" sz="1100" b="1">
              <a:solidFill>
                <a:schemeClr val="dk1"/>
              </a:solidFill>
              <a:effectLst/>
              <a:latin typeface="+mn-lt"/>
              <a:ea typeface="+mn-ea"/>
              <a:cs typeface="+mn-cs"/>
            </a:rPr>
            <a:t>The outputs from the Estimator Tool are not a guarantee of the normal retirement benefits payable at your normal retirement age.</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Estimates are based on the information you provide as well as the assumptions detailed in the Estimator Tool. It is essential that you read the assumptions to get a better understanding of how your estimate is arrived at.</a:t>
          </a:r>
          <a:endParaRPr lang="en-IE">
            <a:effectLst/>
          </a:endParaRPr>
        </a:p>
        <a:p>
          <a:pPr marL="171450" indent="-171450" eaLnBrk="1" fontAlgn="auto" latinLnBrk="0" hangingPunct="1">
            <a:buFont typeface="Arial" panose="020B0604020202020204" pitchFamily="34" charset="0"/>
            <a:buChar char="•"/>
          </a:pPr>
          <a:r>
            <a:rPr lang="en-IE" sz="1100">
              <a:solidFill>
                <a:schemeClr val="dk1"/>
              </a:solidFill>
              <a:effectLst/>
              <a:latin typeface="+mn-lt"/>
              <a:ea typeface="+mn-ea"/>
              <a:cs typeface="+mn-cs"/>
            </a:rPr>
            <a:t>Any information obtained through the use of the Single Scheme Estimator Tool</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has no legal standing nor is it in any way suitable for purposes other than to give you a broad indication of your normal retirement benefits assuming you continue working until your normal retirement age. If you need Single Scheme benefit information for official purposes (e.g. retirement, Family Law) you should contact your Pensions Administrator or Shared Service Centre.</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The Department of Public Expenditure, NDP Delivery and Reform accepts no responsibility for any errors, omissions, or misleading statements obtained through the use of the Single Scheme Estimator Tool. At all times the terms of the </a:t>
          </a:r>
          <a:r>
            <a:rPr lang="en-IE" sz="1100" i="1">
              <a:solidFill>
                <a:schemeClr val="dk1"/>
              </a:solidFill>
              <a:effectLst/>
              <a:latin typeface="+mn-lt"/>
              <a:ea typeface="+mn-ea"/>
              <a:cs typeface="+mn-cs"/>
            </a:rPr>
            <a:t>Public Service Pensions (Single Scheme and Other Provisions) Act 2012</a:t>
          </a:r>
          <a:r>
            <a:rPr lang="en-IE" sz="1100">
              <a:solidFill>
                <a:schemeClr val="dk1"/>
              </a:solidFill>
              <a:effectLst/>
              <a:latin typeface="+mn-lt"/>
              <a:ea typeface="+mn-ea"/>
              <a:cs typeface="+mn-cs"/>
            </a:rPr>
            <a:t> govern entitlements to benefits under the Single Scheme.</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The results from the Estimator Tool are not intended to replace the requirement for your employer to provide you with an annual benefit statement.</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The specific data that you enter into this estimator tool is not stored or monitored by the Department of Public Expenditure NDP Delivery</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&amp; Reform. Your use of the website on which this Estimator Tool is held is governed by the terms of the website Privacy Statement that may be viewed at </a:t>
          </a:r>
          <a:r>
            <a:rPr lang="en-IE" sz="1100" b="1" i="1">
              <a:solidFill>
                <a:schemeClr val="dk1"/>
              </a:solidFill>
              <a:effectLst/>
              <a:latin typeface="+mn-lt"/>
              <a:ea typeface="+mn-ea"/>
              <a:cs typeface="+mn-cs"/>
            </a:rPr>
            <a:t>http://singlepensionscheme.gov.ie/privacy/  </a:t>
          </a:r>
          <a:endParaRPr lang="en-IE">
            <a:effectLst/>
          </a:endParaRPr>
        </a:p>
        <a:p>
          <a:r>
            <a:rPr lang="en-IE" sz="1100" b="1">
              <a:solidFill>
                <a:schemeClr val="dk1"/>
              </a:solidFill>
              <a:effectLst/>
              <a:latin typeface="+mn-lt"/>
              <a:ea typeface="+mn-ea"/>
              <a:cs typeface="+mn-cs"/>
            </a:rPr>
            <a:t>Guidance Notes</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Before using the Estimator Tool you should review the "Estimator Tool - At A Glance Guide" </a:t>
          </a:r>
          <a:r>
            <a:rPr lang="en-IE" sz="1100" i="0">
              <a:solidFill>
                <a:schemeClr val="dk1"/>
              </a:solidFill>
              <a:effectLst/>
              <a:latin typeface="+mn-lt"/>
              <a:ea typeface="+mn-ea"/>
              <a:cs typeface="+mn-cs"/>
            </a:rPr>
            <a:t>and </a:t>
          </a:r>
          <a:r>
            <a:rPr lang="en-IE" sz="1100">
              <a:solidFill>
                <a:schemeClr val="dk1"/>
              </a:solidFill>
              <a:effectLst/>
              <a:latin typeface="+mn-lt"/>
              <a:ea typeface="+mn-ea"/>
              <a:cs typeface="+mn-cs"/>
            </a:rPr>
            <a:t>familiarise yourself with the Single Scheme provisions</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as outlined in the Scheme Booklet relevant</a:t>
          </a:r>
          <a:r>
            <a:rPr lang="en-IE" sz="1100" baseline="0">
              <a:solidFill>
                <a:schemeClr val="dk1"/>
              </a:solidFill>
              <a:effectLst/>
              <a:latin typeface="+mn-lt"/>
              <a:ea typeface="+mn-ea"/>
              <a:cs typeface="+mn-cs"/>
            </a:rPr>
            <a:t> to your membership category </a:t>
          </a:r>
          <a:r>
            <a:rPr lang="en-IE" sz="1100">
              <a:solidFill>
                <a:schemeClr val="dk1"/>
              </a:solidFill>
              <a:effectLst/>
              <a:latin typeface="+mn-lt"/>
              <a:ea typeface="+mn-ea"/>
              <a:cs typeface="+mn-cs"/>
            </a:rPr>
            <a:t>at </a:t>
          </a:r>
          <a:r>
            <a:rPr lang="en-IE" sz="1100" b="1" i="1">
              <a:solidFill>
                <a:schemeClr val="dk1"/>
              </a:solidFill>
              <a:effectLst/>
              <a:latin typeface="+mn-lt"/>
              <a:ea typeface="+mn-ea"/>
              <a:cs typeface="+mn-cs"/>
            </a:rPr>
            <a:t>www.singlepensionscheme.gov.ie/for-members</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The Single Scheme is a career average pension scheme and your normal retirement benefits build up every time you get paid. This means it is not possible for the Estimator Tool to provide a precise forecast of your final retirement benefits.</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Your employer cannot provide you with financial advice and it is recommended that you consult an independent financial advisor in relation to retirement planning.</a:t>
          </a:r>
          <a:endParaRPr lang="en-IE">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This Estimator Tool is for use by</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all</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members of the Single Scheme who are currently employed in a pensionable capacity in the Irish Public Service. That</a:t>
          </a:r>
          <a:r>
            <a:rPr lang="en-IE" sz="1100" baseline="0">
              <a:solidFill>
                <a:schemeClr val="dk1"/>
              </a:solidFill>
              <a:effectLst/>
              <a:latin typeface="+mn-lt"/>
              <a:ea typeface="+mn-ea"/>
              <a:cs typeface="+mn-cs"/>
            </a:rPr>
            <a:t> is, this Estimator Tool can be used by Standard Grade members, Retained Firefighters, members of the Judiciary, as well as by</a:t>
          </a:r>
          <a:r>
            <a:rPr lang="en-IE" sz="1100">
              <a:solidFill>
                <a:schemeClr val="dk1"/>
              </a:solidFill>
              <a:effectLst/>
              <a:latin typeface="+mn-lt"/>
              <a:ea typeface="+mn-ea"/>
              <a:cs typeface="+mn-cs"/>
            </a:rPr>
            <a:t> Uniformed Accrual Members which can be broadly described as a members of An Garda Síochána, members of the Permanent Defence Force, Prison Officers and equivalent grades serving with the Irish Prison Service and Career Firefighters. </a:t>
          </a:r>
          <a:endParaRPr lang="en-IE">
            <a:effectLst/>
          </a:endParaRPr>
        </a:p>
        <a:p>
          <a:endParaRPr lang="en-IE" sz="1100"/>
        </a:p>
      </xdr:txBody>
    </xdr:sp>
    <xdr:clientData/>
  </xdr:twoCellAnchor>
  <mc:AlternateContent xmlns:mc="http://schemas.openxmlformats.org/markup-compatibility/2006">
    <mc:Choice xmlns:a14="http://schemas.microsoft.com/office/drawing/2010/main" Requires="a14">
      <xdr:twoCellAnchor editAs="oneCell">
        <xdr:from>
          <xdr:col>2</xdr:col>
          <xdr:colOff>861060</xdr:colOff>
          <xdr:row>40</xdr:row>
          <xdr:rowOff>160020</xdr:rowOff>
        </xdr:from>
        <xdr:to>
          <xdr:col>2</xdr:col>
          <xdr:colOff>1379220</xdr:colOff>
          <xdr:row>42</xdr:row>
          <xdr:rowOff>7620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IE" sz="800" b="0" i="0" u="none" strike="noStrike" baseline="0">
                  <a:solidFill>
                    <a:srgbClr val="000000"/>
                  </a:solidFill>
                  <a:latin typeface="Segoe UI"/>
                  <a:cs typeface="Segoe UI"/>
                </a:rPr>
                <a:t>I Accept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480060</xdr:colOff>
          <xdr:row>40</xdr:row>
          <xdr:rowOff>152400</xdr:rowOff>
        </xdr:from>
        <xdr:to>
          <xdr:col>6</xdr:col>
          <xdr:colOff>838200</xdr:colOff>
          <xdr:row>42</xdr:row>
          <xdr:rowOff>7620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Proceed To Assumptions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57150</xdr:colOff>
      <xdr:row>4</xdr:row>
      <xdr:rowOff>47625</xdr:rowOff>
    </xdr:from>
    <xdr:to>
      <xdr:col>7</xdr:col>
      <xdr:colOff>1057275</xdr:colOff>
      <xdr:row>37</xdr:row>
      <xdr:rowOff>19050</xdr:rowOff>
    </xdr:to>
    <xdr:sp macro="" textlink="">
      <xdr:nvSpPr>
        <xdr:cNvPr id="3" name="TextBox 2">
          <a:extLst>
            <a:ext uri="{FF2B5EF4-FFF2-40B4-BE49-F238E27FC236}">
              <a16:creationId xmlns:a16="http://schemas.microsoft.com/office/drawing/2014/main" id="{8D67C9A4-B8B4-4C2C-A848-5F7D02D019DF}"/>
            </a:ext>
          </a:extLst>
        </xdr:cNvPr>
        <xdr:cNvSpPr txBox="1"/>
      </xdr:nvSpPr>
      <xdr:spPr>
        <a:xfrm>
          <a:off x="13077825" y="923925"/>
          <a:ext cx="4657725" cy="10572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100" b="1">
              <a:solidFill>
                <a:srgbClr val="FF0000"/>
              </a:solidFill>
              <a:effectLst/>
              <a:latin typeface="+mn-lt"/>
              <a:ea typeface="+mn-ea"/>
              <a:cs typeface="+mn-cs"/>
            </a:rPr>
            <a:t>Please read the Assumptions </a:t>
          </a:r>
          <a:r>
            <a:rPr lang="en-IE" sz="1100" b="1" baseline="0">
              <a:solidFill>
                <a:srgbClr val="FF0000"/>
              </a:solidFill>
              <a:effectLst/>
              <a:latin typeface="+mn-lt"/>
              <a:ea typeface="+mn-ea"/>
              <a:cs typeface="+mn-cs"/>
            </a:rPr>
            <a:t>c</a:t>
          </a:r>
          <a:r>
            <a:rPr lang="en-IE" sz="1100" b="1">
              <a:solidFill>
                <a:srgbClr val="FF0000"/>
              </a:solidFill>
              <a:effectLst/>
              <a:latin typeface="+mn-lt"/>
              <a:ea typeface="+mn-ea"/>
              <a:cs typeface="+mn-cs"/>
            </a:rPr>
            <a:t>arefully. You will need to tick</a:t>
          </a:r>
          <a:r>
            <a:rPr lang="en-IE" sz="1100" b="1" baseline="0">
              <a:solidFill>
                <a:srgbClr val="FF0000"/>
              </a:solidFill>
              <a:effectLst/>
              <a:latin typeface="+mn-lt"/>
              <a:ea typeface="+mn-ea"/>
              <a:cs typeface="+mn-cs"/>
            </a:rPr>
            <a:t> 'I Accept'</a:t>
          </a:r>
          <a:r>
            <a:rPr lang="en-IE" sz="1100" b="1">
              <a:solidFill>
                <a:srgbClr val="FF0000"/>
              </a:solidFill>
              <a:effectLst/>
              <a:latin typeface="+mn-lt"/>
              <a:ea typeface="+mn-ea"/>
              <a:cs typeface="+mn-cs"/>
            </a:rPr>
            <a:t> below to proceed.</a:t>
          </a:r>
          <a:endParaRPr lang="en-IE">
            <a:solidFill>
              <a:srgbClr val="FF0000"/>
            </a:solidFill>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All values shown are in present day money terms i.e. the calculations aim to take account of inflation between</a:t>
          </a:r>
          <a:r>
            <a:rPr lang="en-IE" sz="1100" baseline="0">
              <a:solidFill>
                <a:schemeClr val="dk1"/>
              </a:solidFill>
              <a:effectLst/>
              <a:latin typeface="+mn-lt"/>
              <a:ea typeface="+mn-ea"/>
              <a:cs typeface="+mn-cs"/>
            </a:rPr>
            <a:t> now and your retirement date.</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Your pensionable pay is assumed to increase in line with a projected nominal pay growth of 3% per annum in accordance with actuarial guidance issued by the Society of Actuaries in Ireland, Actuarial Standards of Practice PEN-12.</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A further 1% per annum adjustment is made to assumed pensionable pay to allow for expected career progression.</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 are assumed to be eligible to receive the full State Pension</a:t>
          </a:r>
          <a:r>
            <a:rPr lang="en-IE" sz="1100" baseline="0">
              <a:solidFill>
                <a:schemeClr val="dk1"/>
              </a:solidFill>
              <a:effectLst/>
              <a:latin typeface="+mn-lt"/>
              <a:ea typeface="+mn-ea"/>
              <a:cs typeface="+mn-cs"/>
            </a:rPr>
            <a:t> (Contributory) </a:t>
          </a:r>
          <a:r>
            <a:rPr lang="en-IE" sz="1100">
              <a:solidFill>
                <a:schemeClr val="dk1"/>
              </a:solidFill>
              <a:effectLst/>
              <a:latin typeface="+mn-lt"/>
              <a:ea typeface="+mn-ea"/>
              <a:cs typeface="+mn-cs"/>
            </a:rPr>
            <a:t>from your state pension eligibility age (currently 66). The</a:t>
          </a:r>
          <a:r>
            <a:rPr lang="en-IE" sz="1100" baseline="0">
              <a:solidFill>
                <a:schemeClr val="dk1"/>
              </a:solidFill>
              <a:effectLst/>
              <a:latin typeface="+mn-lt"/>
              <a:ea typeface="+mn-ea"/>
              <a:cs typeface="+mn-cs"/>
            </a:rPr>
            <a:t> </a:t>
          </a:r>
          <a:r>
            <a:rPr lang="en-IE" sz="1100">
              <a:solidFill>
                <a:schemeClr val="dk1"/>
              </a:solidFill>
              <a:effectLst/>
              <a:latin typeface="+mn-lt"/>
              <a:ea typeface="+mn-ea"/>
              <a:cs typeface="+mn-cs"/>
            </a:rPr>
            <a:t>State Pension (Contributory) rate is currently €15,617.47 per annum (or €299.30 per week).</a:t>
          </a:r>
          <a:r>
            <a:rPr lang="en-IE" sz="1100" baseline="0">
              <a:solidFill>
                <a:schemeClr val="dk1"/>
              </a:solidFill>
              <a:effectLst/>
              <a:latin typeface="+mn-lt"/>
              <a:ea typeface="+mn-ea"/>
              <a:cs typeface="+mn-cs"/>
            </a:rPr>
            <a:t> Note:</a:t>
          </a:r>
          <a:r>
            <a:rPr lang="en-IE" sz="1100">
              <a:solidFill>
                <a:schemeClr val="dk1"/>
              </a:solidFill>
              <a:effectLst/>
              <a:latin typeface="+mn-lt"/>
              <a:ea typeface="+mn-ea"/>
              <a:cs typeface="+mn-cs"/>
            </a:rPr>
            <a:t> Your Single Scheme Normal Retirement Age and the Contributory State Pension eligibility age are not the same if you are a Fast</a:t>
          </a:r>
          <a:r>
            <a:rPr lang="en-IE" sz="1100" baseline="0">
              <a:solidFill>
                <a:schemeClr val="dk1"/>
              </a:solidFill>
              <a:effectLst/>
              <a:latin typeface="+mn-lt"/>
              <a:ea typeface="+mn-ea"/>
              <a:cs typeface="+mn-cs"/>
            </a:rPr>
            <a:t> Accrual</a:t>
          </a:r>
          <a:r>
            <a:rPr lang="en-IE" sz="1100">
              <a:solidFill>
                <a:schemeClr val="dk1"/>
              </a:solidFill>
              <a:effectLst/>
              <a:latin typeface="+mn-lt"/>
              <a:ea typeface="+mn-ea"/>
              <a:cs typeface="+mn-cs"/>
            </a:rPr>
            <a:t> (Uniformed) member or a Retained Firefighter. However for all other membership types, the eligibility age for the State Pension (Contributory) and the minimum Single</a:t>
          </a:r>
          <a:r>
            <a:rPr lang="en-IE" sz="1100" baseline="0">
              <a:solidFill>
                <a:schemeClr val="dk1"/>
              </a:solidFill>
              <a:effectLst/>
              <a:latin typeface="+mn-lt"/>
              <a:ea typeface="+mn-ea"/>
              <a:cs typeface="+mn-cs"/>
            </a:rPr>
            <a:t> Scheme</a:t>
          </a:r>
          <a:r>
            <a:rPr lang="en-IE" sz="1100">
              <a:solidFill>
                <a:schemeClr val="dk1"/>
              </a:solidFill>
              <a:effectLst/>
              <a:latin typeface="+mn-lt"/>
              <a:ea typeface="+mn-ea"/>
              <a:cs typeface="+mn-cs"/>
            </a:rPr>
            <a:t> normal retirement age are the same.</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Your annual salary is assumed to be earned evenly throughout the year.</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Your contributions include your Single Scheme employee contributions and Additional Superannuation Contributions (ASC) until your normal retirement age.</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This calculator applies to active standard accrual members, fast accrual (uniformed) members, retained</a:t>
          </a:r>
          <a:r>
            <a:rPr lang="en-IE" sz="1100" baseline="0">
              <a:solidFill>
                <a:schemeClr val="dk1"/>
              </a:solidFill>
              <a:effectLst/>
              <a:latin typeface="+mn-lt"/>
              <a:ea typeface="+mn-ea"/>
              <a:cs typeface="+mn-cs"/>
            </a:rPr>
            <a:t> firefighters and </a:t>
          </a:r>
          <a:r>
            <a:rPr lang="en-IE" sz="1100">
              <a:solidFill>
                <a:schemeClr val="dk1"/>
              </a:solidFill>
              <a:effectLst/>
              <a:latin typeface="+mn-lt"/>
              <a:ea typeface="+mn-ea"/>
              <a:cs typeface="+mn-cs"/>
            </a:rPr>
            <a:t>members of the Judiciary</a:t>
          </a:r>
          <a:r>
            <a:rPr lang="en-IE" sz="1100" baseline="0">
              <a:solidFill>
                <a:schemeClr val="dk1"/>
              </a:solidFill>
              <a:effectLst/>
              <a:latin typeface="+mn-lt"/>
              <a:ea typeface="+mn-ea"/>
              <a:cs typeface="+mn-cs"/>
            </a:rPr>
            <a:t>.</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 are assumed to continue your current work pattern until your minimum normal retirement age.</a:t>
          </a:r>
          <a:endParaRPr lang="en-IE" sz="1100">
            <a:effectLst/>
          </a:endParaRPr>
        </a:p>
        <a:p>
          <a:pPr marL="171450" indent="-171450">
            <a:buFont typeface="Arial" panose="020B0604020202020204" pitchFamily="34" charset="0"/>
            <a:buChar char="•"/>
          </a:pPr>
          <a:r>
            <a:rPr lang="en-IE" sz="1100">
              <a:solidFill>
                <a:schemeClr val="dk1"/>
              </a:solidFill>
              <a:effectLst/>
              <a:latin typeface="+mn-lt"/>
              <a:ea typeface="+mn-ea"/>
              <a:cs typeface="+mn-cs"/>
            </a:rPr>
            <a:t>You are assumed to have started working mid-way through your year of entry to the Single Scheme in respect of the prospective benefit entitlements. </a:t>
          </a:r>
          <a:endParaRPr lang="en-IE" sz="1100">
            <a:effectLst/>
          </a:endParaRPr>
        </a:p>
        <a:p>
          <a:endParaRPr lang="en-IE" sz="1100"/>
        </a:p>
      </xdr:txBody>
    </xdr:sp>
    <xdr:clientData/>
  </xdr:twoCellAnchor>
  <mc:AlternateContent xmlns:mc="http://schemas.openxmlformats.org/markup-compatibility/2006">
    <mc:Choice xmlns:a14="http://schemas.microsoft.com/office/drawing/2010/main" Requires="a14">
      <xdr:twoCellAnchor editAs="oneCell">
        <xdr:from>
          <xdr:col>2</xdr:col>
          <xdr:colOff>3566160</xdr:colOff>
          <xdr:row>40</xdr:row>
          <xdr:rowOff>144780</xdr:rowOff>
        </xdr:from>
        <xdr:to>
          <xdr:col>2</xdr:col>
          <xdr:colOff>4084320</xdr:colOff>
          <xdr:row>41</xdr:row>
          <xdr:rowOff>182880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IE" sz="800" b="0" i="0" u="none" strike="noStrike" baseline="0">
                  <a:solidFill>
                    <a:srgbClr val="000000"/>
                  </a:solidFill>
                  <a:latin typeface="Segoe UI"/>
                  <a:cs typeface="Segoe UI"/>
                </a:rPr>
                <a:t>I Accept</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312420</xdr:colOff>
          <xdr:row>40</xdr:row>
          <xdr:rowOff>152400</xdr:rowOff>
        </xdr:from>
        <xdr:to>
          <xdr:col>2</xdr:col>
          <xdr:colOff>2308860</xdr:colOff>
          <xdr:row>42</xdr:row>
          <xdr:rowOff>7620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100-000008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Return To Disclaimer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525780</xdr:colOff>
          <xdr:row>40</xdr:row>
          <xdr:rowOff>160020</xdr:rowOff>
        </xdr:from>
        <xdr:to>
          <xdr:col>7</xdr:col>
          <xdr:colOff>952500</xdr:colOff>
          <xdr:row>42</xdr:row>
          <xdr:rowOff>22860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Proceed To Inputs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41</xdr:row>
          <xdr:rowOff>38100</xdr:rowOff>
        </xdr:from>
        <xdr:to>
          <xdr:col>7</xdr:col>
          <xdr:colOff>480060</xdr:colOff>
          <xdr:row>42</xdr:row>
          <xdr:rowOff>83820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Proceed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41</xdr:row>
          <xdr:rowOff>38100</xdr:rowOff>
        </xdr:from>
        <xdr:to>
          <xdr:col>2</xdr:col>
          <xdr:colOff>3581400</xdr:colOff>
          <xdr:row>42</xdr:row>
          <xdr:rowOff>83820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Return To Assumptions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22860</xdr:colOff>
          <xdr:row>40</xdr:row>
          <xdr:rowOff>137160</xdr:rowOff>
        </xdr:from>
        <xdr:to>
          <xdr:col>6</xdr:col>
          <xdr:colOff>746760</xdr:colOff>
          <xdr:row>41</xdr:row>
          <xdr:rowOff>182880</xdr:rowOff>
        </xdr:to>
        <xdr:sp macro="" textlink="">
          <xdr:nvSpPr>
            <xdr:cNvPr id="5125" name="Button 5"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Return To Inputs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251460</xdr:colOff>
          <xdr:row>40</xdr:row>
          <xdr:rowOff>144780</xdr:rowOff>
        </xdr:from>
        <xdr:to>
          <xdr:col>2</xdr:col>
          <xdr:colOff>2994660</xdr:colOff>
          <xdr:row>42</xdr:row>
          <xdr:rowOff>0</xdr:rowOff>
        </xdr:to>
        <xdr:sp macro="" textlink="">
          <xdr:nvSpPr>
            <xdr:cNvPr id="5130" name="Button 10" hidden="1">
              <a:extLst>
                <a:ext uri="{63B3BB69-23CF-44E3-9099-C40C66FF867C}">
                  <a14:compatExt spid="_x0000_s5130"/>
                </a:ext>
                <a:ext uri="{FF2B5EF4-FFF2-40B4-BE49-F238E27FC236}">
                  <a16:creationId xmlns:a16="http://schemas.microsoft.com/office/drawing/2014/main" id="{00000000-0008-0000-0300-00000A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E" sz="1100" b="0" i="0" u="none" strike="noStrike" baseline="0">
                  <a:solidFill>
                    <a:srgbClr val="000000"/>
                  </a:solidFill>
                  <a:latin typeface="Calibri"/>
                  <a:ea typeface="Calibri"/>
                  <a:cs typeface="Calibri"/>
                </a:rPr>
                <a:t>Return To Disclaimer</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47F6F-15B4-4BE9-86CB-350D182FCC56}">
  <sheetPr codeName="Sheet1"/>
  <dimension ref="B1:H43"/>
  <sheetViews>
    <sheetView tabSelected="1" zoomScaleNormal="100" workbookViewId="0"/>
  </sheetViews>
  <sheetFormatPr defaultColWidth="9.109375" defaultRowHeight="14.4" x14ac:dyDescent="0.3"/>
  <cols>
    <col min="1" max="1" width="9.109375" style="122"/>
    <col min="2" max="2" width="14.5546875" style="122" customWidth="1"/>
    <col min="3" max="3" width="60.33203125" style="122" bestFit="1" customWidth="1"/>
    <col min="4" max="4" width="9.109375" style="122"/>
    <col min="5" max="5" width="12.88671875" style="122" customWidth="1"/>
    <col min="6" max="6" width="9.109375" style="122"/>
    <col min="7" max="7" width="12.6640625" style="122" customWidth="1"/>
    <col min="8" max="8" width="8" style="122" customWidth="1"/>
    <col min="9" max="16384" width="9.109375" style="122"/>
  </cols>
  <sheetData>
    <row r="1" spans="2:8" ht="15" thickBot="1" x14ac:dyDescent="0.35"/>
    <row r="2" spans="2:8" x14ac:dyDescent="0.3">
      <c r="B2" s="219" t="s">
        <v>59</v>
      </c>
      <c r="C2" s="220"/>
      <c r="D2" s="220"/>
      <c r="E2" s="220"/>
      <c r="F2" s="220"/>
      <c r="G2" s="220"/>
      <c r="H2" s="221"/>
    </row>
    <row r="3" spans="2:8" x14ac:dyDescent="0.3">
      <c r="B3" s="222"/>
      <c r="C3" s="223"/>
      <c r="D3" s="223"/>
      <c r="E3" s="223"/>
      <c r="F3" s="223"/>
      <c r="G3" s="223"/>
      <c r="H3" s="224"/>
    </row>
    <row r="4" spans="2:8" ht="15" thickBot="1" x14ac:dyDescent="0.35">
      <c r="B4" s="225"/>
      <c r="C4" s="226"/>
      <c r="D4" s="226"/>
      <c r="E4" s="226"/>
      <c r="F4" s="226"/>
      <c r="G4" s="226"/>
      <c r="H4" s="227"/>
    </row>
    <row r="5" spans="2:8" x14ac:dyDescent="0.3">
      <c r="B5" s="112"/>
      <c r="C5" s="110"/>
      <c r="D5" s="110"/>
      <c r="E5" s="110"/>
      <c r="F5" s="110"/>
      <c r="G5" s="110"/>
      <c r="H5" s="111"/>
    </row>
    <row r="6" spans="2:8" x14ac:dyDescent="0.3">
      <c r="B6" s="113"/>
      <c r="C6" s="114"/>
      <c r="D6" s="114"/>
      <c r="E6" s="114"/>
      <c r="F6" s="114"/>
      <c r="G6" s="114"/>
      <c r="H6" s="115"/>
    </row>
    <row r="7" spans="2:8" x14ac:dyDescent="0.3">
      <c r="B7" s="113"/>
      <c r="C7" s="114"/>
      <c r="D7" s="114"/>
      <c r="E7" s="114"/>
      <c r="F7" s="114"/>
      <c r="G7" s="114"/>
      <c r="H7" s="115"/>
    </row>
    <row r="8" spans="2:8" x14ac:dyDescent="0.3">
      <c r="B8" s="113"/>
      <c r="C8" s="114"/>
      <c r="D8" s="114"/>
      <c r="E8" s="114"/>
      <c r="F8" s="114"/>
      <c r="G8" s="114"/>
      <c r="H8" s="115"/>
    </row>
    <row r="9" spans="2:8" x14ac:dyDescent="0.3">
      <c r="B9" s="113"/>
      <c r="C9" s="114"/>
      <c r="D9" s="114"/>
      <c r="E9" s="114"/>
      <c r="F9" s="114"/>
      <c r="G9" s="114"/>
      <c r="H9" s="115"/>
    </row>
    <row r="10" spans="2:8" x14ac:dyDescent="0.3">
      <c r="B10" s="113"/>
      <c r="C10" s="114"/>
      <c r="D10" s="114"/>
      <c r="E10" s="114"/>
      <c r="F10" s="114"/>
      <c r="G10" s="114"/>
      <c r="H10" s="115"/>
    </row>
    <row r="11" spans="2:8" x14ac:dyDescent="0.3">
      <c r="B11" s="113"/>
      <c r="C11" s="114"/>
      <c r="D11" s="114"/>
      <c r="E11" s="114"/>
      <c r="F11" s="114"/>
      <c r="G11" s="114"/>
      <c r="H11" s="115"/>
    </row>
    <row r="12" spans="2:8" x14ac:dyDescent="0.3">
      <c r="B12" s="113"/>
      <c r="C12" s="114"/>
      <c r="D12" s="114"/>
      <c r="E12" s="114"/>
      <c r="F12" s="114"/>
      <c r="G12" s="114"/>
      <c r="H12" s="115"/>
    </row>
    <row r="13" spans="2:8" x14ac:dyDescent="0.3">
      <c r="B13" s="113"/>
      <c r="C13" s="114"/>
      <c r="D13" s="114"/>
      <c r="E13" s="114"/>
      <c r="F13" s="114"/>
      <c r="G13" s="114"/>
      <c r="H13" s="115"/>
    </row>
    <row r="14" spans="2:8" x14ac:dyDescent="0.3">
      <c r="B14" s="113"/>
      <c r="C14" s="114"/>
      <c r="D14" s="114"/>
      <c r="E14" s="114"/>
      <c r="F14" s="114"/>
      <c r="G14" s="114"/>
      <c r="H14" s="115"/>
    </row>
    <row r="15" spans="2:8" x14ac:dyDescent="0.3">
      <c r="B15" s="113"/>
      <c r="C15" s="114"/>
      <c r="D15" s="114"/>
      <c r="E15" s="114"/>
      <c r="F15" s="114"/>
      <c r="G15" s="114"/>
      <c r="H15" s="115"/>
    </row>
    <row r="16" spans="2:8" x14ac:dyDescent="0.3">
      <c r="B16" s="113"/>
      <c r="C16" s="114"/>
      <c r="D16" s="114"/>
      <c r="E16" s="114"/>
      <c r="F16" s="114"/>
      <c r="G16" s="114"/>
      <c r="H16" s="115"/>
    </row>
    <row r="17" spans="2:8" x14ac:dyDescent="0.3">
      <c r="B17" s="113"/>
      <c r="C17" s="114"/>
      <c r="D17" s="114"/>
      <c r="E17" s="114"/>
      <c r="F17" s="114"/>
      <c r="G17" s="114"/>
      <c r="H17" s="115"/>
    </row>
    <row r="18" spans="2:8" x14ac:dyDescent="0.3">
      <c r="B18" s="113"/>
      <c r="C18" s="114"/>
      <c r="D18" s="114"/>
      <c r="E18" s="114"/>
      <c r="F18" s="114"/>
      <c r="G18" s="114"/>
      <c r="H18" s="115"/>
    </row>
    <row r="19" spans="2:8" x14ac:dyDescent="0.3">
      <c r="B19" s="113"/>
      <c r="C19" s="114"/>
      <c r="D19" s="114"/>
      <c r="E19" s="114"/>
      <c r="F19" s="114"/>
      <c r="G19" s="114"/>
      <c r="H19" s="115"/>
    </row>
    <row r="20" spans="2:8" x14ac:dyDescent="0.3">
      <c r="B20" s="113"/>
      <c r="C20" s="114"/>
      <c r="D20" s="114"/>
      <c r="E20" s="114"/>
      <c r="F20" s="114"/>
      <c r="G20" s="114"/>
      <c r="H20" s="115"/>
    </row>
    <row r="21" spans="2:8" x14ac:dyDescent="0.3">
      <c r="B21" s="113"/>
      <c r="C21" s="114"/>
      <c r="D21" s="114"/>
      <c r="E21" s="114"/>
      <c r="F21" s="114"/>
      <c r="G21" s="114"/>
      <c r="H21" s="115"/>
    </row>
    <row r="22" spans="2:8" x14ac:dyDescent="0.3">
      <c r="B22" s="113"/>
      <c r="C22" s="114"/>
      <c r="D22" s="114"/>
      <c r="E22" s="114"/>
      <c r="F22" s="114"/>
      <c r="G22" s="114"/>
      <c r="H22" s="115"/>
    </row>
    <row r="23" spans="2:8" x14ac:dyDescent="0.3">
      <c r="B23" s="113"/>
      <c r="C23" s="114"/>
      <c r="D23" s="114"/>
      <c r="E23" s="114"/>
      <c r="F23" s="114"/>
      <c r="G23" s="114"/>
      <c r="H23" s="115"/>
    </row>
    <row r="24" spans="2:8" x14ac:dyDescent="0.3">
      <c r="B24" s="113"/>
      <c r="C24" s="114"/>
      <c r="D24" s="114"/>
      <c r="E24" s="114"/>
      <c r="F24" s="114"/>
      <c r="G24" s="114"/>
      <c r="H24" s="115"/>
    </row>
    <row r="25" spans="2:8" x14ac:dyDescent="0.3">
      <c r="B25" s="113"/>
      <c r="C25" s="114"/>
      <c r="D25" s="114"/>
      <c r="E25" s="114"/>
      <c r="F25" s="114"/>
      <c r="G25" s="114"/>
      <c r="H25" s="115"/>
    </row>
    <row r="26" spans="2:8" x14ac:dyDescent="0.3">
      <c r="B26" s="113"/>
      <c r="C26" s="114"/>
      <c r="D26" s="114"/>
      <c r="E26" s="114"/>
      <c r="F26" s="114"/>
      <c r="G26" s="114"/>
      <c r="H26" s="115"/>
    </row>
    <row r="27" spans="2:8" x14ac:dyDescent="0.3">
      <c r="B27" s="113"/>
      <c r="C27" s="114"/>
      <c r="D27" s="114"/>
      <c r="E27" s="114"/>
      <c r="F27" s="114"/>
      <c r="G27" s="114"/>
      <c r="H27" s="115"/>
    </row>
    <row r="28" spans="2:8" x14ac:dyDescent="0.3">
      <c r="B28" s="113"/>
      <c r="C28" s="114"/>
      <c r="D28" s="114"/>
      <c r="E28" s="114"/>
      <c r="F28" s="114"/>
      <c r="G28" s="114"/>
      <c r="H28" s="115"/>
    </row>
    <row r="29" spans="2:8" x14ac:dyDescent="0.3">
      <c r="B29" s="113"/>
      <c r="C29" s="114"/>
      <c r="D29" s="114"/>
      <c r="E29" s="114"/>
      <c r="F29" s="114"/>
      <c r="G29" s="114"/>
      <c r="H29" s="115"/>
    </row>
    <row r="30" spans="2:8" x14ac:dyDescent="0.3">
      <c r="B30" s="113"/>
      <c r="C30" s="114"/>
      <c r="D30" s="114"/>
      <c r="E30" s="114"/>
      <c r="F30" s="114"/>
      <c r="G30" s="114"/>
      <c r="H30" s="115"/>
    </row>
    <row r="31" spans="2:8" x14ac:dyDescent="0.3">
      <c r="B31" s="113"/>
      <c r="C31" s="114"/>
      <c r="D31" s="114"/>
      <c r="E31" s="114"/>
      <c r="F31" s="114"/>
      <c r="G31" s="114"/>
      <c r="H31" s="115"/>
    </row>
    <row r="32" spans="2:8" x14ac:dyDescent="0.3">
      <c r="B32" s="113"/>
      <c r="C32" s="114"/>
      <c r="D32" s="114"/>
      <c r="E32" s="114"/>
      <c r="F32" s="114"/>
      <c r="G32" s="114"/>
      <c r="H32" s="115"/>
    </row>
    <row r="33" spans="2:8" x14ac:dyDescent="0.3">
      <c r="B33" s="113"/>
      <c r="C33" s="114"/>
      <c r="D33" s="114"/>
      <c r="E33" s="114"/>
      <c r="F33" s="114"/>
      <c r="G33" s="114"/>
      <c r="H33" s="115"/>
    </row>
    <row r="34" spans="2:8" x14ac:dyDescent="0.3">
      <c r="B34" s="113"/>
      <c r="C34" s="114"/>
      <c r="D34" s="114"/>
      <c r="E34" s="114"/>
      <c r="F34" s="114"/>
      <c r="G34" s="114"/>
      <c r="H34" s="115"/>
    </row>
    <row r="35" spans="2:8" x14ac:dyDescent="0.3">
      <c r="B35" s="113"/>
      <c r="C35" s="114"/>
      <c r="D35" s="114"/>
      <c r="E35" s="114"/>
      <c r="F35" s="114"/>
      <c r="G35" s="114"/>
      <c r="H35" s="115"/>
    </row>
    <row r="36" spans="2:8" x14ac:dyDescent="0.3">
      <c r="B36" s="113"/>
      <c r="C36" s="114"/>
      <c r="D36" s="114"/>
      <c r="E36" s="114"/>
      <c r="F36" s="114"/>
      <c r="G36" s="114"/>
      <c r="H36" s="115"/>
    </row>
    <row r="37" spans="2:8" x14ac:dyDescent="0.3">
      <c r="B37" s="113"/>
      <c r="C37" s="114"/>
      <c r="D37" s="114"/>
      <c r="E37" s="114"/>
      <c r="F37" s="114"/>
      <c r="G37" s="114"/>
      <c r="H37" s="115"/>
    </row>
    <row r="38" spans="2:8" x14ac:dyDescent="0.3">
      <c r="B38" s="113"/>
      <c r="C38" s="114"/>
      <c r="D38" s="114"/>
      <c r="E38" s="114"/>
      <c r="F38" s="114"/>
      <c r="G38" s="114"/>
      <c r="H38" s="115"/>
    </row>
    <row r="39" spans="2:8" x14ac:dyDescent="0.3">
      <c r="B39" s="113"/>
      <c r="C39" s="114"/>
      <c r="D39" s="114"/>
      <c r="E39" s="114"/>
      <c r="F39" s="114"/>
      <c r="G39" s="114"/>
      <c r="H39" s="115"/>
    </row>
    <row r="40" spans="2:8" x14ac:dyDescent="0.3">
      <c r="B40" s="113"/>
      <c r="C40" s="114" t="s">
        <v>107</v>
      </c>
      <c r="D40" s="114"/>
      <c r="E40" s="114"/>
      <c r="F40" s="114"/>
      <c r="G40" s="114"/>
      <c r="H40" s="115"/>
    </row>
    <row r="41" spans="2:8" x14ac:dyDescent="0.3">
      <c r="B41" s="113"/>
      <c r="C41" s="114"/>
      <c r="D41" s="114"/>
      <c r="E41" s="114"/>
      <c r="F41" s="114"/>
      <c r="G41" s="114"/>
      <c r="H41" s="115"/>
    </row>
    <row r="42" spans="2:8" x14ac:dyDescent="0.3">
      <c r="B42" s="113"/>
      <c r="C42" s="114"/>
      <c r="D42" s="114"/>
      <c r="E42" s="114"/>
      <c r="F42" s="114"/>
      <c r="G42" s="114"/>
      <c r="H42" s="115"/>
    </row>
    <row r="43" spans="2:8" ht="15" thickBot="1" x14ac:dyDescent="0.35">
      <c r="B43" s="116"/>
      <c r="C43" s="117"/>
      <c r="D43" s="117"/>
      <c r="E43" s="117"/>
      <c r="F43" s="117"/>
      <c r="G43" s="117"/>
      <c r="H43" s="118"/>
    </row>
  </sheetData>
  <sheetProtection selectLockedCells="1"/>
  <customSheetViews>
    <customSheetView guid="{4E701ADD-B653-400C-8A42-0AC861206E5A}" state="hidden">
      <selection activeCell="B2" sqref="B2:H4"/>
      <pageMargins left="0.7" right="0.7" top="0.75" bottom="0.75" header="0.3" footer="0.3"/>
    </customSheetView>
    <customSheetView guid="{2A619B68-536F-426D-BFE9-EE04724DEF36}" state="hidden">
      <selection activeCell="B2" sqref="B2:H4"/>
      <pageMargins left="0.7" right="0.7" top="0.75" bottom="0.75" header="0.3" footer="0.3"/>
    </customSheetView>
    <customSheetView guid="{1605CA2C-FF00-4896-997A-CEBF2520096B}">
      <selection activeCell="B2" sqref="B2:H4"/>
      <pageMargins left="0.7" right="0.7" top="0.75" bottom="0.75" header="0.3" footer="0.3"/>
    </customSheetView>
    <customSheetView guid="{3A4D590C-9376-45C5-87AA-FF7CE0EBE4F9}" state="hidden">
      <selection activeCell="B2" sqref="B2:H4"/>
      <pageMargins left="0.7" right="0.7" top="0.75" bottom="0.75" header="0.3" footer="0.3"/>
    </customSheetView>
    <customSheetView guid="{94C6E1F2-1311-446C-ACA2-771EF249BF12}">
      <selection activeCell="B2" sqref="B2:H4"/>
      <pageMargins left="0.7" right="0.7" top="0.75" bottom="0.75" header="0.3" footer="0.3"/>
    </customSheetView>
  </customSheetViews>
  <mergeCells count="1">
    <mergeCell ref="B2:H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Check Box 1">
              <controlPr defaultSize="0" autoFill="0" autoLine="0" autoPict="0">
                <anchor moveWithCells="1">
                  <from>
                    <xdr:col>2</xdr:col>
                    <xdr:colOff>861060</xdr:colOff>
                    <xdr:row>40</xdr:row>
                    <xdr:rowOff>160020</xdr:rowOff>
                  </from>
                  <to>
                    <xdr:col>2</xdr:col>
                    <xdr:colOff>1379220</xdr:colOff>
                    <xdr:row>42</xdr:row>
                    <xdr:rowOff>7620</xdr:rowOff>
                  </to>
                </anchor>
              </controlPr>
            </control>
          </mc:Choice>
        </mc:AlternateContent>
        <mc:AlternateContent xmlns:mc="http://schemas.openxmlformats.org/markup-compatibility/2006">
          <mc:Choice Requires="x14">
            <control shapeId="3076" r:id="rId4" name="Button 4">
              <controlPr defaultSize="0" print="0" autoFill="0" autoPict="0" macro="[0]!Sheet1.Proceed_to_Assumptions">
                <anchor moveWithCells="1" sizeWithCells="1">
                  <from>
                    <xdr:col>3</xdr:col>
                    <xdr:colOff>480060</xdr:colOff>
                    <xdr:row>40</xdr:row>
                    <xdr:rowOff>152400</xdr:rowOff>
                  </from>
                  <to>
                    <xdr:col>6</xdr:col>
                    <xdr:colOff>838200</xdr:colOff>
                    <xdr:row>42</xdr:row>
                    <xdr:rowOff>7620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1B79D-0DE2-4951-A9F2-DD2530A8E44B}">
  <sheetPr codeName="Sheet2"/>
  <dimension ref="B1:H43"/>
  <sheetViews>
    <sheetView zoomScaleNormal="100" workbookViewId="0"/>
  </sheetViews>
  <sheetFormatPr defaultColWidth="9.109375" defaultRowHeight="14.4" x14ac:dyDescent="0.3"/>
  <cols>
    <col min="1" max="2" width="9.109375" style="122"/>
    <col min="3" max="3" width="62.33203125" style="122" bestFit="1" customWidth="1"/>
    <col min="4" max="7" width="9.109375" style="122"/>
    <col min="8" max="8" width="17.6640625" style="122" customWidth="1"/>
    <col min="9" max="16384" width="9.109375" style="122"/>
  </cols>
  <sheetData>
    <row r="1" spans="2:8" ht="15" thickBot="1" x14ac:dyDescent="0.35"/>
    <row r="2" spans="2:8" x14ac:dyDescent="0.3">
      <c r="B2" s="219" t="s">
        <v>108</v>
      </c>
      <c r="C2" s="220"/>
      <c r="D2" s="220"/>
      <c r="E2" s="220"/>
      <c r="F2" s="220"/>
      <c r="G2" s="220"/>
      <c r="H2" s="221"/>
    </row>
    <row r="3" spans="2:8" x14ac:dyDescent="0.3">
      <c r="B3" s="222"/>
      <c r="C3" s="223"/>
      <c r="D3" s="223"/>
      <c r="E3" s="223"/>
      <c r="F3" s="223"/>
      <c r="G3" s="223"/>
      <c r="H3" s="224"/>
    </row>
    <row r="4" spans="2:8" ht="15" thickBot="1" x14ac:dyDescent="0.35">
      <c r="B4" s="225"/>
      <c r="C4" s="226"/>
      <c r="D4" s="226"/>
      <c r="E4" s="226"/>
      <c r="F4" s="226"/>
      <c r="G4" s="226"/>
      <c r="H4" s="227"/>
    </row>
    <row r="5" spans="2:8" x14ac:dyDescent="0.3">
      <c r="B5" s="112"/>
      <c r="C5" s="110"/>
      <c r="D5" s="110"/>
      <c r="E5" s="110"/>
      <c r="F5" s="110"/>
      <c r="G5" s="110"/>
      <c r="H5" s="111"/>
    </row>
    <row r="6" spans="2:8" x14ac:dyDescent="0.3">
      <c r="B6" s="113"/>
      <c r="C6" s="114"/>
      <c r="D6" s="114"/>
      <c r="E6" s="114"/>
      <c r="F6" s="114"/>
      <c r="G6" s="114"/>
      <c r="H6" s="115"/>
    </row>
    <row r="7" spans="2:8" x14ac:dyDescent="0.3">
      <c r="B7" s="113"/>
      <c r="C7" s="114"/>
      <c r="D7" s="114"/>
      <c r="E7" s="114"/>
      <c r="F7" s="114"/>
      <c r="G7" s="114"/>
      <c r="H7" s="115"/>
    </row>
    <row r="8" spans="2:8" x14ac:dyDescent="0.3">
      <c r="B8" s="113"/>
      <c r="C8" s="114"/>
      <c r="D8" s="114"/>
      <c r="E8" s="114"/>
      <c r="F8" s="114"/>
      <c r="G8" s="114"/>
      <c r="H8" s="115"/>
    </row>
    <row r="9" spans="2:8" x14ac:dyDescent="0.3">
      <c r="B9" s="113"/>
      <c r="C9" s="114"/>
      <c r="D9" s="114"/>
      <c r="E9" s="114"/>
      <c r="F9" s="114"/>
      <c r="G9" s="114"/>
      <c r="H9" s="115"/>
    </row>
    <row r="10" spans="2:8" x14ac:dyDescent="0.3">
      <c r="B10" s="113"/>
      <c r="C10" s="114"/>
      <c r="D10" s="114"/>
      <c r="E10" s="114"/>
      <c r="F10" s="114"/>
      <c r="G10" s="114"/>
      <c r="H10" s="115"/>
    </row>
    <row r="11" spans="2:8" x14ac:dyDescent="0.3">
      <c r="B11" s="113"/>
      <c r="C11" s="114"/>
      <c r="D11" s="114"/>
      <c r="E11" s="114"/>
      <c r="F11" s="114"/>
      <c r="G11" s="114"/>
      <c r="H11" s="115"/>
    </row>
    <row r="12" spans="2:8" x14ac:dyDescent="0.3">
      <c r="B12" s="113"/>
      <c r="C12" s="114"/>
      <c r="D12" s="114"/>
      <c r="E12" s="114"/>
      <c r="F12" s="114"/>
      <c r="G12" s="114"/>
      <c r="H12" s="115"/>
    </row>
    <row r="13" spans="2:8" x14ac:dyDescent="0.3">
      <c r="B13" s="113"/>
      <c r="C13" s="114"/>
      <c r="D13" s="114"/>
      <c r="E13" s="114"/>
      <c r="F13" s="114"/>
      <c r="G13" s="114"/>
      <c r="H13" s="115"/>
    </row>
    <row r="14" spans="2:8" x14ac:dyDescent="0.3">
      <c r="B14" s="113"/>
      <c r="C14" s="114"/>
      <c r="D14" s="114"/>
      <c r="E14" s="114"/>
      <c r="F14" s="114"/>
      <c r="G14" s="114"/>
      <c r="H14" s="115"/>
    </row>
    <row r="15" spans="2:8" x14ac:dyDescent="0.3">
      <c r="B15" s="113"/>
      <c r="C15" s="114"/>
      <c r="D15" s="114"/>
      <c r="E15" s="114"/>
      <c r="F15" s="114"/>
      <c r="G15" s="114"/>
      <c r="H15" s="115"/>
    </row>
    <row r="16" spans="2:8" x14ac:dyDescent="0.3">
      <c r="B16" s="113"/>
      <c r="C16" s="114"/>
      <c r="D16" s="114"/>
      <c r="E16" s="114"/>
      <c r="F16" s="114"/>
      <c r="G16" s="114"/>
      <c r="H16" s="115"/>
    </row>
    <row r="17" spans="2:8" x14ac:dyDescent="0.3">
      <c r="B17" s="113"/>
      <c r="C17" s="114"/>
      <c r="D17" s="114"/>
      <c r="E17" s="114"/>
      <c r="F17" s="114"/>
      <c r="G17" s="114"/>
      <c r="H17" s="115"/>
    </row>
    <row r="18" spans="2:8" x14ac:dyDescent="0.3">
      <c r="B18" s="113"/>
      <c r="C18" s="114"/>
      <c r="D18" s="114"/>
      <c r="E18" s="114"/>
      <c r="F18" s="114"/>
      <c r="G18" s="114"/>
      <c r="H18" s="115"/>
    </row>
    <row r="19" spans="2:8" x14ac:dyDescent="0.3">
      <c r="B19" s="113"/>
      <c r="C19" s="114"/>
      <c r="D19" s="114"/>
      <c r="E19" s="114"/>
      <c r="F19" s="114"/>
      <c r="G19" s="114"/>
      <c r="H19" s="115"/>
    </row>
    <row r="20" spans="2:8" x14ac:dyDescent="0.3">
      <c r="B20" s="113"/>
      <c r="C20" s="114"/>
      <c r="D20" s="114"/>
      <c r="E20" s="114"/>
      <c r="F20" s="114"/>
      <c r="G20" s="114"/>
      <c r="H20" s="115"/>
    </row>
    <row r="21" spans="2:8" x14ac:dyDescent="0.3">
      <c r="B21" s="113"/>
      <c r="C21" s="114"/>
      <c r="D21" s="114"/>
      <c r="E21" s="114"/>
      <c r="F21" s="114"/>
      <c r="G21" s="114"/>
      <c r="H21" s="115"/>
    </row>
    <row r="22" spans="2:8" x14ac:dyDescent="0.3">
      <c r="B22" s="113"/>
      <c r="C22" s="114"/>
      <c r="D22" s="114"/>
      <c r="E22" s="114"/>
      <c r="F22" s="114"/>
      <c r="G22" s="114"/>
      <c r="H22" s="115"/>
    </row>
    <row r="23" spans="2:8" x14ac:dyDescent="0.3">
      <c r="B23" s="113"/>
      <c r="C23" s="114"/>
      <c r="D23" s="114"/>
      <c r="E23" s="114"/>
      <c r="F23" s="114"/>
      <c r="G23" s="114"/>
      <c r="H23" s="115"/>
    </row>
    <row r="24" spans="2:8" x14ac:dyDescent="0.3">
      <c r="B24" s="113"/>
      <c r="C24" s="114"/>
      <c r="D24" s="114"/>
      <c r="E24" s="114"/>
      <c r="F24" s="114"/>
      <c r="G24" s="114"/>
      <c r="H24" s="115"/>
    </row>
    <row r="25" spans="2:8" x14ac:dyDescent="0.3">
      <c r="B25" s="113"/>
      <c r="C25" s="114"/>
      <c r="D25" s="114"/>
      <c r="E25" s="114"/>
      <c r="F25" s="114"/>
      <c r="G25" s="114"/>
      <c r="H25" s="115"/>
    </row>
    <row r="26" spans="2:8" x14ac:dyDescent="0.3">
      <c r="B26" s="113"/>
      <c r="C26" s="114"/>
      <c r="D26" s="114"/>
      <c r="E26" s="114"/>
      <c r="F26" s="114"/>
      <c r="G26" s="114"/>
      <c r="H26" s="115"/>
    </row>
    <row r="27" spans="2:8" x14ac:dyDescent="0.3">
      <c r="B27" s="113"/>
      <c r="C27" s="114"/>
      <c r="D27" s="114"/>
      <c r="E27" s="114"/>
      <c r="F27" s="114"/>
      <c r="G27" s="114"/>
      <c r="H27" s="115"/>
    </row>
    <row r="28" spans="2:8" x14ac:dyDescent="0.3">
      <c r="B28" s="113"/>
      <c r="C28" s="114"/>
      <c r="D28" s="114"/>
      <c r="E28" s="114"/>
      <c r="F28" s="114"/>
      <c r="G28" s="114"/>
      <c r="H28" s="115"/>
    </row>
    <row r="29" spans="2:8" x14ac:dyDescent="0.3">
      <c r="B29" s="113"/>
      <c r="C29" s="114"/>
      <c r="D29" s="114"/>
      <c r="E29" s="114"/>
      <c r="F29" s="114"/>
      <c r="G29" s="114"/>
      <c r="H29" s="115"/>
    </row>
    <row r="30" spans="2:8" x14ac:dyDescent="0.3">
      <c r="B30" s="113"/>
      <c r="C30" s="114"/>
      <c r="D30" s="114"/>
      <c r="E30" s="114"/>
      <c r="F30" s="114"/>
      <c r="G30" s="114"/>
      <c r="H30" s="115"/>
    </row>
    <row r="31" spans="2:8" x14ac:dyDescent="0.3">
      <c r="B31" s="113"/>
      <c r="C31" s="114"/>
      <c r="D31" s="114"/>
      <c r="E31" s="114"/>
      <c r="F31" s="114"/>
      <c r="G31" s="114"/>
      <c r="H31" s="115"/>
    </row>
    <row r="32" spans="2:8" x14ac:dyDescent="0.3">
      <c r="B32" s="113"/>
      <c r="C32" s="114"/>
      <c r="D32" s="114"/>
      <c r="E32" s="114"/>
      <c r="F32" s="114"/>
      <c r="G32" s="114"/>
      <c r="H32" s="115"/>
    </row>
    <row r="33" spans="2:8" x14ac:dyDescent="0.3">
      <c r="B33" s="113"/>
      <c r="C33" s="114"/>
      <c r="D33" s="114"/>
      <c r="E33" s="114"/>
      <c r="F33" s="114"/>
      <c r="G33" s="114"/>
      <c r="H33" s="115"/>
    </row>
    <row r="34" spans="2:8" x14ac:dyDescent="0.3">
      <c r="B34" s="113"/>
      <c r="C34" s="114"/>
      <c r="D34" s="114"/>
      <c r="E34" s="114"/>
      <c r="F34" s="114"/>
      <c r="G34" s="114"/>
      <c r="H34" s="115"/>
    </row>
    <row r="35" spans="2:8" x14ac:dyDescent="0.3">
      <c r="B35" s="113"/>
      <c r="C35" s="114"/>
      <c r="D35" s="114"/>
      <c r="E35" s="114"/>
      <c r="F35" s="114"/>
      <c r="G35" s="114"/>
      <c r="H35" s="115"/>
    </row>
    <row r="36" spans="2:8" x14ac:dyDescent="0.3">
      <c r="B36" s="113"/>
      <c r="C36" s="114"/>
      <c r="D36" s="114"/>
      <c r="E36" s="114"/>
      <c r="F36" s="114"/>
      <c r="G36" s="114"/>
      <c r="H36" s="115"/>
    </row>
    <row r="37" spans="2:8" x14ac:dyDescent="0.3">
      <c r="B37" s="113"/>
      <c r="C37" s="114"/>
      <c r="D37" s="114"/>
      <c r="E37" s="114"/>
      <c r="F37" s="114"/>
      <c r="G37" s="114"/>
      <c r="H37" s="115"/>
    </row>
    <row r="38" spans="2:8" x14ac:dyDescent="0.3">
      <c r="B38" s="113"/>
      <c r="C38" s="114"/>
      <c r="D38" s="114"/>
      <c r="E38" s="114"/>
      <c r="F38" s="114"/>
      <c r="G38" s="114"/>
      <c r="H38" s="115"/>
    </row>
    <row r="39" spans="2:8" x14ac:dyDescent="0.3">
      <c r="B39" s="113"/>
      <c r="C39" s="114"/>
      <c r="D39" s="114"/>
      <c r="E39" s="114"/>
      <c r="F39" s="114"/>
      <c r="G39" s="114"/>
      <c r="H39" s="115"/>
    </row>
    <row r="40" spans="2:8" x14ac:dyDescent="0.3">
      <c r="B40" s="113"/>
      <c r="C40" s="114" t="s">
        <v>109</v>
      </c>
      <c r="D40" s="114"/>
      <c r="E40" s="114"/>
      <c r="F40" s="114"/>
      <c r="G40" s="114"/>
      <c r="H40" s="115"/>
    </row>
    <row r="41" spans="2:8" x14ac:dyDescent="0.3">
      <c r="B41" s="113"/>
      <c r="C41" s="114"/>
      <c r="D41" s="114"/>
      <c r="E41" s="114"/>
      <c r="F41" s="114"/>
      <c r="G41" s="114"/>
      <c r="H41" s="115"/>
    </row>
    <row r="42" spans="2:8" x14ac:dyDescent="0.3">
      <c r="B42" s="113"/>
      <c r="C42" s="114"/>
      <c r="D42" s="114"/>
      <c r="E42" s="114"/>
      <c r="F42" s="114"/>
      <c r="G42" s="114"/>
      <c r="H42" s="115"/>
    </row>
    <row r="43" spans="2:8" ht="15" thickBot="1" x14ac:dyDescent="0.35">
      <c r="B43" s="116"/>
      <c r="C43" s="117"/>
      <c r="D43" s="117"/>
      <c r="E43" s="117"/>
      <c r="F43" s="117"/>
      <c r="G43" s="117"/>
      <c r="H43" s="118"/>
    </row>
  </sheetData>
  <sheetProtection selectLockedCells="1"/>
  <customSheetViews>
    <customSheetView guid="{4E701ADD-B653-400C-8A42-0AC861206E5A}" state="hidden">
      <selection activeCell="B2" sqref="B2:H4"/>
      <pageMargins left="0.7" right="0.7" top="0.75" bottom="0.75" header="0.3" footer="0.3"/>
    </customSheetView>
    <customSheetView guid="{2A619B68-536F-426D-BFE9-EE04724DEF36}" state="hidden">
      <selection activeCell="B2" sqref="B2:H4"/>
      <pageMargins left="0.7" right="0.7" top="0.75" bottom="0.75" header="0.3" footer="0.3"/>
    </customSheetView>
    <customSheetView guid="{1605CA2C-FF00-4896-997A-CEBF2520096B}" state="hidden">
      <selection activeCell="B2" sqref="B2:H4"/>
      <pageMargins left="0.7" right="0.7" top="0.75" bottom="0.75" header="0.3" footer="0.3"/>
    </customSheetView>
    <customSheetView guid="{3A4D590C-9376-45C5-87AA-FF7CE0EBE4F9}">
      <selection activeCell="B2" sqref="B2:H4"/>
      <pageMargins left="0.7" right="0.7" top="0.75" bottom="0.75" header="0.3" footer="0.3"/>
    </customSheetView>
    <customSheetView guid="{94C6E1F2-1311-446C-ACA2-771EF249BF12}" topLeftCell="A12">
      <selection activeCell="B2" sqref="B2:H4"/>
      <pageMargins left="0.7" right="0.7" top="0.75" bottom="0.75" header="0.3" footer="0.3"/>
    </customSheetView>
  </customSheetViews>
  <mergeCells count="1">
    <mergeCell ref="B2:H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103" r:id="rId3" name="Check Box 7">
              <controlPr defaultSize="0" autoFill="0" autoLine="0" autoPict="0">
                <anchor moveWithCells="1">
                  <from>
                    <xdr:col>2</xdr:col>
                    <xdr:colOff>3566160</xdr:colOff>
                    <xdr:row>40</xdr:row>
                    <xdr:rowOff>144780</xdr:rowOff>
                  </from>
                  <to>
                    <xdr:col>2</xdr:col>
                    <xdr:colOff>4084320</xdr:colOff>
                    <xdr:row>41</xdr:row>
                    <xdr:rowOff>182880</xdr:rowOff>
                  </to>
                </anchor>
              </controlPr>
            </control>
          </mc:Choice>
        </mc:AlternateContent>
        <mc:AlternateContent xmlns:mc="http://schemas.openxmlformats.org/markup-compatibility/2006">
          <mc:Choice Requires="x14">
            <control shapeId="4104" r:id="rId4" name="Button 8">
              <controlPr defaultSize="0" print="0" autoFill="0" autoPict="0" macro="[0]!Sheet1.Return_to_Disclaimer_Assumptions">
                <anchor moveWithCells="1" sizeWithCells="1">
                  <from>
                    <xdr:col>1</xdr:col>
                    <xdr:colOff>312420</xdr:colOff>
                    <xdr:row>40</xdr:row>
                    <xdr:rowOff>152400</xdr:rowOff>
                  </from>
                  <to>
                    <xdr:col>2</xdr:col>
                    <xdr:colOff>2308860</xdr:colOff>
                    <xdr:row>42</xdr:row>
                    <xdr:rowOff>7620</xdr:rowOff>
                  </to>
                </anchor>
              </controlPr>
            </control>
          </mc:Choice>
        </mc:AlternateContent>
        <mc:AlternateContent xmlns:mc="http://schemas.openxmlformats.org/markup-compatibility/2006">
          <mc:Choice Requires="x14">
            <control shapeId="4105" r:id="rId5" name="Button 9">
              <controlPr defaultSize="0" print="0" autoFill="0" autoPict="0" macro="[0]!Sheet1.Switch_to_Inputs_Assumptions">
                <anchor moveWithCells="1" sizeWithCells="1">
                  <from>
                    <xdr:col>4</xdr:col>
                    <xdr:colOff>525780</xdr:colOff>
                    <xdr:row>40</xdr:row>
                    <xdr:rowOff>160020</xdr:rowOff>
                  </from>
                  <to>
                    <xdr:col>7</xdr:col>
                    <xdr:colOff>952500</xdr:colOff>
                    <xdr:row>42</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H43"/>
  <sheetViews>
    <sheetView zoomScaleNormal="100" workbookViewId="0"/>
  </sheetViews>
  <sheetFormatPr defaultColWidth="9.109375" defaultRowHeight="14.4" x14ac:dyDescent="0.3"/>
  <cols>
    <col min="1" max="2" width="9.109375" style="122"/>
    <col min="3" max="3" width="76.44140625" style="122" bestFit="1" customWidth="1"/>
    <col min="4" max="4" width="12.44140625" style="122" bestFit="1" customWidth="1"/>
    <col min="5" max="5" width="24" style="122" customWidth="1"/>
    <col min="6" max="6" width="24.44140625" style="122" customWidth="1"/>
    <col min="7" max="7" width="22.109375" style="122" customWidth="1"/>
    <col min="8" max="8" width="25.88671875" style="122" customWidth="1"/>
    <col min="9" max="16384" width="9.109375" style="122"/>
  </cols>
  <sheetData>
    <row r="1" spans="2:8" ht="15" thickBot="1" x14ac:dyDescent="0.35"/>
    <row r="2" spans="2:8" ht="15" customHeight="1" x14ac:dyDescent="0.3">
      <c r="B2" s="219" t="s">
        <v>0</v>
      </c>
      <c r="C2" s="220"/>
      <c r="D2" s="220"/>
      <c r="E2" s="220"/>
      <c r="F2" s="220"/>
      <c r="G2" s="220"/>
      <c r="H2" s="221"/>
    </row>
    <row r="3" spans="2:8" ht="15" customHeight="1" x14ac:dyDescent="0.3">
      <c r="B3" s="222"/>
      <c r="C3" s="223"/>
      <c r="D3" s="223"/>
      <c r="E3" s="223"/>
      <c r="F3" s="223"/>
      <c r="G3" s="223"/>
      <c r="H3" s="224"/>
    </row>
    <row r="4" spans="2:8" ht="23.25" customHeight="1" thickBot="1" x14ac:dyDescent="0.35">
      <c r="B4" s="225"/>
      <c r="C4" s="226"/>
      <c r="D4" s="226"/>
      <c r="E4" s="226"/>
      <c r="F4" s="226"/>
      <c r="G4" s="226"/>
      <c r="H4" s="227"/>
    </row>
    <row r="5" spans="2:8" ht="96" customHeight="1" x14ac:dyDescent="0.3">
      <c r="B5" s="1"/>
      <c r="C5" s="228" t="s">
        <v>1</v>
      </c>
      <c r="D5" s="228"/>
      <c r="E5" s="228"/>
      <c r="F5" s="228"/>
      <c r="G5" s="228"/>
      <c r="H5" s="27"/>
    </row>
    <row r="6" spans="2:8" x14ac:dyDescent="0.3">
      <c r="B6" s="18"/>
      <c r="C6" s="24" t="s">
        <v>9</v>
      </c>
      <c r="D6" s="20"/>
      <c r="E6" s="20"/>
      <c r="F6" s="20"/>
      <c r="G6" s="20"/>
      <c r="H6" s="21"/>
    </row>
    <row r="7" spans="2:8" x14ac:dyDescent="0.3">
      <c r="B7" s="1"/>
      <c r="C7" s="25" t="s">
        <v>11</v>
      </c>
      <c r="D7" s="26"/>
      <c r="E7" s="2"/>
      <c r="F7" s="2"/>
      <c r="G7" s="2"/>
      <c r="H7" s="3"/>
    </row>
    <row r="8" spans="2:8" ht="5.25" customHeight="1" x14ac:dyDescent="0.3">
      <c r="B8" s="1"/>
      <c r="C8" s="229"/>
      <c r="D8" s="229"/>
      <c r="E8" s="229"/>
      <c r="F8" s="229"/>
      <c r="G8" s="229"/>
      <c r="H8" s="230"/>
    </row>
    <row r="9" spans="2:8" ht="3.75" customHeight="1" x14ac:dyDescent="0.3">
      <c r="B9" s="1"/>
      <c r="C9" s="16"/>
      <c r="D9" s="16"/>
      <c r="E9" s="16"/>
      <c r="F9" s="16"/>
      <c r="G9" s="16"/>
      <c r="H9" s="17"/>
    </row>
    <row r="10" spans="2:8" ht="27.75" customHeight="1" x14ac:dyDescent="0.3">
      <c r="B10" s="18"/>
      <c r="C10" s="19" t="s">
        <v>2</v>
      </c>
      <c r="D10" s="20"/>
      <c r="E10" s="20"/>
      <c r="F10" s="20"/>
      <c r="G10" s="20"/>
      <c r="H10" s="21"/>
    </row>
    <row r="11" spans="2:8" ht="14.25" customHeight="1" x14ac:dyDescent="0.3">
      <c r="B11" s="1"/>
      <c r="C11" s="22" t="s">
        <v>3</v>
      </c>
      <c r="D11" s="6" t="s">
        <v>4</v>
      </c>
      <c r="E11" s="38" t="str">
        <f>IF(D11="","Enter Member Type Here","")</f>
        <v/>
      </c>
      <c r="F11" s="28"/>
      <c r="G11" s="36"/>
      <c r="H11" s="37"/>
    </row>
    <row r="12" spans="2:8" ht="4.5" customHeight="1" x14ac:dyDescent="0.3">
      <c r="B12" s="4"/>
      <c r="C12" s="229"/>
      <c r="D12" s="229"/>
      <c r="E12" s="229"/>
      <c r="F12" s="229"/>
      <c r="G12" s="229"/>
      <c r="H12" s="230"/>
    </row>
    <row r="13" spans="2:8" ht="4.5" customHeight="1" x14ac:dyDescent="0.3">
      <c r="B13" s="4"/>
      <c r="C13" s="7"/>
      <c r="D13" s="7"/>
      <c r="E13" s="7"/>
      <c r="F13" s="7"/>
      <c r="G13" s="7"/>
      <c r="H13" s="8"/>
    </row>
    <row r="14" spans="2:8" hidden="1" x14ac:dyDescent="0.3">
      <c r="B14" s="18"/>
      <c r="C14" s="19" t="s">
        <v>23</v>
      </c>
      <c r="D14" s="20"/>
      <c r="E14" s="20"/>
      <c r="F14" s="20"/>
      <c r="G14" s="20"/>
      <c r="H14" s="21"/>
    </row>
    <row r="15" spans="2:8" hidden="1" x14ac:dyDescent="0.3">
      <c r="B15" s="4"/>
      <c r="C15" s="23" t="s">
        <v>5</v>
      </c>
      <c r="D15" s="9"/>
      <c r="E15" s="28" t="str">
        <f>IF(D11="Uniform","Enter Retirement age here","")</f>
        <v/>
      </c>
      <c r="F15" s="28"/>
      <c r="G15" s="28"/>
      <c r="H15" s="109"/>
    </row>
    <row r="16" spans="2:8" ht="15" hidden="1" customHeight="1" x14ac:dyDescent="0.3">
      <c r="B16" s="4"/>
      <c r="C16" s="28" t="s">
        <v>24</v>
      </c>
      <c r="D16" s="28"/>
      <c r="E16" s="28"/>
      <c r="F16" s="28"/>
      <c r="G16" s="28"/>
      <c r="H16" s="3"/>
    </row>
    <row r="17" spans="2:8" ht="11.25" hidden="1" customHeight="1" x14ac:dyDescent="0.3">
      <c r="B17" s="4"/>
      <c r="C17" s="5"/>
      <c r="D17" s="5"/>
      <c r="E17" s="5"/>
      <c r="F17" s="2"/>
      <c r="G17" s="2"/>
      <c r="H17" s="3"/>
    </row>
    <row r="18" spans="2:8" ht="18" customHeight="1" x14ac:dyDescent="0.3">
      <c r="B18" s="18"/>
      <c r="C18" s="24" t="s">
        <v>105</v>
      </c>
      <c r="D18" s="20"/>
      <c r="E18" s="20"/>
      <c r="F18" s="20"/>
      <c r="G18" s="20"/>
      <c r="H18" s="21"/>
    </row>
    <row r="19" spans="2:8" x14ac:dyDescent="0.3">
      <c r="B19" s="1"/>
      <c r="C19" s="25" t="s">
        <v>8</v>
      </c>
      <c r="D19" s="29">
        <v>2024</v>
      </c>
      <c r="E19" s="2"/>
      <c r="F19" s="2"/>
      <c r="G19" s="2"/>
      <c r="H19" s="3"/>
    </row>
    <row r="20" spans="2:8" ht="15" customHeight="1" x14ac:dyDescent="0.3">
      <c r="B20" s="1"/>
      <c r="C20" s="28" t="s">
        <v>17</v>
      </c>
      <c r="D20" s="28"/>
      <c r="E20" s="28"/>
      <c r="F20" s="28"/>
      <c r="G20" s="28"/>
      <c r="H20" s="8"/>
    </row>
    <row r="21" spans="2:8" ht="3" customHeight="1" x14ac:dyDescent="0.3">
      <c r="B21" s="1"/>
      <c r="C21" s="16"/>
      <c r="D21" s="16"/>
      <c r="E21" s="16"/>
      <c r="F21" s="16"/>
      <c r="G21" s="16"/>
      <c r="H21" s="17"/>
    </row>
    <row r="22" spans="2:8" ht="15" customHeight="1" x14ac:dyDescent="0.3">
      <c r="B22" s="18"/>
      <c r="C22" s="19" t="str">
        <f>"Full-Time Gross Annual Pensionable Pay (€) at 31/12/"&amp;D19</f>
        <v>Full-Time Gross Annual Pensionable Pay (€) at 31/12/2024</v>
      </c>
      <c r="D22" s="20"/>
      <c r="E22" s="20"/>
      <c r="F22" s="20"/>
      <c r="G22" s="20"/>
      <c r="H22" s="21"/>
    </row>
    <row r="23" spans="2:8" x14ac:dyDescent="0.3">
      <c r="B23" s="1"/>
      <c r="C23" s="22" t="s">
        <v>6</v>
      </c>
      <c r="D23" s="10"/>
      <c r="E23" s="38" t="str">
        <f>IF(E28="","","Enter Full-Time Annual Pensionable Pay here")</f>
        <v>Enter Full-Time Annual Pensionable Pay here</v>
      </c>
      <c r="F23" s="36"/>
      <c r="G23" s="36"/>
      <c r="H23" s="37"/>
    </row>
    <row r="24" spans="2:8" x14ac:dyDescent="0.3">
      <c r="B24" s="4"/>
      <c r="C24" s="28" t="s">
        <v>14</v>
      </c>
      <c r="D24" s="28"/>
      <c r="E24" s="28"/>
      <c r="F24" s="28"/>
      <c r="G24" s="28"/>
      <c r="H24" s="8"/>
    </row>
    <row r="25" spans="2:8" x14ac:dyDescent="0.3">
      <c r="B25" s="4"/>
      <c r="C25" s="28" t="s">
        <v>19</v>
      </c>
      <c r="D25" s="28"/>
      <c r="E25" s="28"/>
      <c r="F25" s="28"/>
      <c r="G25" s="28"/>
      <c r="H25" s="8"/>
    </row>
    <row r="26" spans="2:8" x14ac:dyDescent="0.3">
      <c r="B26" s="4"/>
      <c r="C26" s="5"/>
      <c r="D26" s="5"/>
      <c r="E26" s="5"/>
      <c r="F26" s="2"/>
      <c r="G26" s="2"/>
      <c r="H26" s="3"/>
    </row>
    <row r="27" spans="2:8" x14ac:dyDescent="0.3">
      <c r="B27" s="18"/>
      <c r="C27" s="24" t="s">
        <v>18</v>
      </c>
      <c r="D27" s="20"/>
      <c r="E27" s="20"/>
      <c r="F27" s="20"/>
      <c r="G27" s="20"/>
      <c r="H27" s="21"/>
    </row>
    <row r="28" spans="2:8" ht="20.399999999999999" x14ac:dyDescent="0.3">
      <c r="B28" s="1"/>
      <c r="C28" s="22" t="s">
        <v>7</v>
      </c>
      <c r="D28" s="11"/>
      <c r="E28" s="35" t="str">
        <f>IF(D28&lt;1,"If your work pattern is less than 100%, make sure you enter the equivalent Full Time Annual Pensionable Pay you would receive if you had worked a full time pattern in the field above","")</f>
        <v>If your work pattern is less than 100%, make sure you enter the equivalent Full Time Annual Pensionable Pay you would receive if you had worked a full time pattern in the field above</v>
      </c>
      <c r="F28" s="36"/>
      <c r="G28" s="36"/>
      <c r="H28" s="37"/>
    </row>
    <row r="29" spans="2:8" ht="22.5" customHeight="1" x14ac:dyDescent="0.3">
      <c r="B29" s="13"/>
      <c r="C29" s="28" t="s">
        <v>114</v>
      </c>
      <c r="D29" s="28"/>
      <c r="E29" s="28"/>
      <c r="F29" s="28"/>
      <c r="G29" s="28"/>
      <c r="H29" s="8"/>
    </row>
    <row r="30" spans="2:8" ht="15" customHeight="1" x14ac:dyDescent="0.3">
      <c r="B30" s="13"/>
      <c r="C30" s="28" t="s">
        <v>13</v>
      </c>
      <c r="D30" s="28"/>
      <c r="E30" s="28"/>
      <c r="F30" s="28"/>
      <c r="G30" s="28"/>
      <c r="H30" s="8"/>
    </row>
    <row r="31" spans="2:8" ht="2.25" customHeight="1" x14ac:dyDescent="0.3">
      <c r="B31" s="14"/>
      <c r="C31" s="15"/>
      <c r="D31" s="15"/>
      <c r="E31" s="15"/>
      <c r="F31" s="15"/>
      <c r="G31" s="2"/>
      <c r="H31" s="3"/>
    </row>
    <row r="32" spans="2:8" x14ac:dyDescent="0.3">
      <c r="B32" s="18"/>
      <c r="C32" s="19" t="s">
        <v>10</v>
      </c>
      <c r="D32" s="20"/>
      <c r="E32" s="20"/>
      <c r="F32" s="20"/>
      <c r="G32" s="20"/>
      <c r="H32" s="21"/>
    </row>
    <row r="33" spans="2:8" ht="15" customHeight="1" x14ac:dyDescent="0.3">
      <c r="B33" s="1"/>
      <c r="C33" s="22" t="str">
        <f>"In "&amp;$D$19</f>
        <v>In 2024</v>
      </c>
      <c r="D33" s="213"/>
      <c r="E33" s="12"/>
      <c r="F33" s="2"/>
      <c r="G33" s="2"/>
      <c r="H33" s="3"/>
    </row>
    <row r="34" spans="2:8" x14ac:dyDescent="0.3">
      <c r="B34" s="1"/>
      <c r="C34" s="22" t="str">
        <f>"Before "&amp;$D$19&amp; " (adjusted)"</f>
        <v>Before 2024 (adjusted)</v>
      </c>
      <c r="D34" s="213"/>
      <c r="E34" s="12"/>
      <c r="F34" s="2"/>
      <c r="G34" s="2"/>
      <c r="H34" s="3"/>
    </row>
    <row r="35" spans="2:8" x14ac:dyDescent="0.3">
      <c r="B35" s="13"/>
      <c r="C35" s="28" t="s">
        <v>15</v>
      </c>
      <c r="D35" s="28"/>
      <c r="E35" s="28"/>
      <c r="F35" s="28"/>
      <c r="G35" s="28"/>
      <c r="H35" s="8"/>
    </row>
    <row r="36" spans="2:8" x14ac:dyDescent="0.3">
      <c r="B36" s="13"/>
      <c r="C36" s="28"/>
      <c r="D36" s="28"/>
      <c r="E36" s="28"/>
      <c r="F36" s="28"/>
      <c r="G36" s="28"/>
      <c r="H36" s="8"/>
    </row>
    <row r="37" spans="2:8" x14ac:dyDescent="0.3">
      <c r="B37" s="14"/>
      <c r="C37" s="15"/>
      <c r="D37" s="15"/>
      <c r="E37" s="15"/>
      <c r="F37" s="15"/>
      <c r="G37" s="2"/>
      <c r="H37" s="3"/>
    </row>
    <row r="38" spans="2:8" x14ac:dyDescent="0.3">
      <c r="B38" s="18"/>
      <c r="C38" s="19" t="s">
        <v>12</v>
      </c>
      <c r="D38" s="20"/>
      <c r="E38" s="20"/>
      <c r="F38" s="20"/>
      <c r="G38" s="20"/>
      <c r="H38" s="21"/>
    </row>
    <row r="39" spans="2:8" x14ac:dyDescent="0.3">
      <c r="B39" s="1"/>
      <c r="C39" s="22" t="str">
        <f>"In "&amp;$D$19</f>
        <v>In 2024</v>
      </c>
      <c r="D39" s="213"/>
      <c r="E39" s="12"/>
      <c r="F39" s="2"/>
      <c r="G39" s="2"/>
      <c r="H39" s="3"/>
    </row>
    <row r="40" spans="2:8" x14ac:dyDescent="0.3">
      <c r="B40" s="1"/>
      <c r="C40" s="22" t="str">
        <f>"Before "&amp;$D$19&amp;" (adjusted)"</f>
        <v>Before 2024 (adjusted)</v>
      </c>
      <c r="D40" s="213"/>
      <c r="E40" s="12"/>
      <c r="F40" s="2"/>
      <c r="G40" s="2"/>
      <c r="H40" s="3"/>
    </row>
    <row r="41" spans="2:8" x14ac:dyDescent="0.3">
      <c r="B41" s="13"/>
      <c r="C41" s="28" t="s">
        <v>15</v>
      </c>
      <c r="D41" s="28"/>
      <c r="E41" s="28"/>
      <c r="F41" s="28"/>
      <c r="G41" s="28"/>
      <c r="H41" s="8"/>
    </row>
    <row r="42" spans="2:8" x14ac:dyDescent="0.3">
      <c r="B42" s="13"/>
      <c r="C42" s="28"/>
      <c r="D42" s="28"/>
      <c r="E42" s="28"/>
      <c r="F42" s="28"/>
      <c r="G42" s="28"/>
      <c r="H42" s="8"/>
    </row>
    <row r="43" spans="2:8" ht="15" thickBot="1" x14ac:dyDescent="0.35">
      <c r="B43" s="30"/>
      <c r="C43" s="31"/>
      <c r="D43" s="31"/>
      <c r="E43" s="31"/>
      <c r="F43" s="31"/>
      <c r="G43" s="32"/>
      <c r="H43" s="33"/>
    </row>
  </sheetData>
  <sheetProtection selectLockedCells="1"/>
  <customSheetViews>
    <customSheetView guid="{4E701ADD-B653-400C-8A42-0AC861206E5A}" state="hidden">
      <selection activeCell="D7" sqref="D7"/>
      <pageMargins left="0.7" right="0.7" top="0.75" bottom="0.75" header="0.3" footer="0.3"/>
    </customSheetView>
    <customSheetView guid="{2A619B68-536F-426D-BFE9-EE04724DEF36}">
      <selection activeCell="D7" sqref="D7"/>
      <pageMargins left="0.7" right="0.7" top="0.75" bottom="0.75" header="0.3" footer="0.3"/>
    </customSheetView>
    <customSheetView guid="{1605CA2C-FF00-4896-997A-CEBF2520096B}" state="hidden" topLeftCell="A10">
      <selection activeCell="D24" sqref="D24"/>
      <pageMargins left="0.7" right="0.7" top="0.75" bottom="0.75" header="0.3" footer="0.3"/>
    </customSheetView>
    <customSheetView guid="{3A4D590C-9376-45C5-87AA-FF7CE0EBE4F9}" state="hidden" topLeftCell="A10">
      <selection activeCell="D24" sqref="D24"/>
      <pageMargins left="0.7" right="0.7" top="0.75" bottom="0.75" header="0.3" footer="0.3"/>
    </customSheetView>
    <customSheetView guid="{94C6E1F2-1311-446C-ACA2-771EF249BF12}" topLeftCell="A10">
      <selection activeCell="D24" sqref="D24"/>
      <pageMargins left="0.7" right="0.7" top="0.75" bottom="0.75" header="0.3" footer="0.3"/>
    </customSheetView>
  </customSheetViews>
  <mergeCells count="4">
    <mergeCell ref="C5:G5"/>
    <mergeCell ref="B2:H4"/>
    <mergeCell ref="C12:H12"/>
    <mergeCell ref="C8:H8"/>
  </mergeCells>
  <dataValidations count="3">
    <dataValidation type="decimal" allowBlank="1" showInputMessage="1" showErrorMessage="1" errorTitle="Error : Salary" error="Please input a valid Full-Time Gross Annual Pensionable Pay amount. " sqref="D23" xr:uid="{FA235B9E-E0BD-4DF9-8E17-DEE810D750B1}">
      <formula1>5000</formula1>
      <formula2>320076</formula2>
    </dataValidation>
    <dataValidation type="date" allowBlank="1" showInputMessage="1" showErrorMessage="1" errorTitle="Error : Date of Birth" error="Please input a valid Date of Birth._x000a__x000a_Required format is DD/MM/YYYY_x000a__x000a_The mandatory retirement age in the Single Pension Scheme is 70 years of age." promptTitle="Disclaimer : SPS Modeller" sqref="D7" xr:uid="{5D09383C-0849-4855-B2F3-28CEE5C7416A}">
      <formula1>20090</formula1>
      <formula2>39083</formula2>
    </dataValidation>
    <dataValidation allowBlank="1" showInputMessage="1" showErrorMessage="1" errorTitle="Error : % Work Pattern" error="Please select a valid % Work Pattern or Full Time Equivalent (FTE) from the list." sqref="D33:D34 D39:D40" xr:uid="{E2763E0A-19AA-4864-B5C9-0E63635D46F5}"/>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2" r:id="rId3" name="Button 8">
              <controlPr defaultSize="0" print="0" autoFill="0" autoPict="0" macro="[0]!Sheet1.Switch_to_Outputs">
                <anchor moveWithCells="1" sizeWithCells="1">
                  <from>
                    <xdr:col>5</xdr:col>
                    <xdr:colOff>0</xdr:colOff>
                    <xdr:row>41</xdr:row>
                    <xdr:rowOff>38100</xdr:rowOff>
                  </from>
                  <to>
                    <xdr:col>7</xdr:col>
                    <xdr:colOff>480060</xdr:colOff>
                    <xdr:row>42</xdr:row>
                    <xdr:rowOff>83820</xdr:rowOff>
                  </to>
                </anchor>
              </controlPr>
            </control>
          </mc:Choice>
        </mc:AlternateContent>
        <mc:AlternateContent xmlns:mc="http://schemas.openxmlformats.org/markup-compatibility/2006">
          <mc:Choice Requires="x14">
            <control shapeId="1043" r:id="rId4" name="Button 19">
              <controlPr defaultSize="0" print="0" autoFill="0" autoPict="0" macro="[0]!Sheet1.Return_to_Assumptions">
                <anchor moveWithCells="1" sizeWithCells="1">
                  <from>
                    <xdr:col>2</xdr:col>
                    <xdr:colOff>0</xdr:colOff>
                    <xdr:row>41</xdr:row>
                    <xdr:rowOff>38100</xdr:rowOff>
                  </from>
                  <to>
                    <xdr:col>2</xdr:col>
                    <xdr:colOff>3581400</xdr:colOff>
                    <xdr:row>42</xdr:row>
                    <xdr:rowOff>83820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Error : % Work Pattern" error="Please select a valid % Work Pattern or Full Time Equivalent (FTE) from the list." xr:uid="{5E2585E9-CC48-4B39-8EC0-C1A45B97E22C}">
          <x14:formula1>
            <xm:f>Lists!$E$3:$E$102</xm:f>
          </x14:formula1>
          <xm:sqref>D28</xm:sqref>
        </x14:dataValidation>
        <x14:dataValidation type="list" allowBlank="1" showInputMessage="1" showErrorMessage="1" errorTitle="Error : Retirement Age" error="Please select a valid Retirement Age from the list._x000a_" xr:uid="{C9F6957F-1D43-4DBC-A219-A8CB1E62C6B0}">
          <x14:formula1>
            <xm:f>Lists!$D$3:$D$18</xm:f>
          </x14:formula1>
          <xm:sqref>D15</xm:sqref>
        </x14:dataValidation>
        <x14:dataValidation type="list" allowBlank="1" showErrorMessage="1" errorTitle="Error : Membership Type" error="Please select a valid Membership Type from the list." promptTitle="Member Type" xr:uid="{0FFB40BB-7337-4262-BCE3-6488B7A986B8}">
          <x14:formula1>
            <xm:f>Lists!$C$3:$C$6</xm:f>
          </x14:formula1>
          <xm:sqref>D11</xm:sqref>
        </x14:dataValidation>
        <x14:dataValidation type="whole" allowBlank="1" showInputMessage="1" showErrorMessage="1" errorTitle="Error : Year" error="Please input a valid Year of Most Recent Annual Benefit Statement._x000a__x000a_Required format is YYYY._x000a__x000a_The 2024 Annual Benefit Statement shows your Referable Amounts at 31/12/2024." xr:uid="{E3FC1342-F129-4740-82E0-AACBF1AEF3BF}">
          <x14:formula1>
            <xm:f>2013</xm:f>
          </x14:formula1>
          <x14:formula2>
            <xm:f>Lists!B3</xm:f>
          </x14:formula2>
          <xm:sqref>D19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42EA-0D13-4D25-8C96-9F6F516BAF32}">
  <sheetPr codeName="Sheet4"/>
  <dimension ref="B1:H43"/>
  <sheetViews>
    <sheetView zoomScaleNormal="100" workbookViewId="0"/>
  </sheetViews>
  <sheetFormatPr defaultColWidth="9.109375" defaultRowHeight="14.4" x14ac:dyDescent="0.3"/>
  <cols>
    <col min="1" max="1" width="9.109375" style="122"/>
    <col min="2" max="2" width="14.88671875" style="122" customWidth="1"/>
    <col min="3" max="3" width="47.44140625" style="122" bestFit="1" customWidth="1"/>
    <col min="4" max="4" width="10.109375" style="122" bestFit="1" customWidth="1"/>
    <col min="5" max="5" width="4.109375" style="122" bestFit="1" customWidth="1"/>
    <col min="6" max="6" width="45.109375" style="122" bestFit="1" customWidth="1"/>
    <col min="7" max="7" width="12.44140625" style="122" bestFit="1" customWidth="1"/>
    <col min="8" max="8" width="4.44140625" style="122" bestFit="1" customWidth="1"/>
    <col min="9" max="16384" width="9.109375" style="122"/>
  </cols>
  <sheetData>
    <row r="1" spans="2:8" ht="15" thickBot="1" x14ac:dyDescent="0.35"/>
    <row r="2" spans="2:8" ht="15" customHeight="1" x14ac:dyDescent="0.3">
      <c r="B2" s="219" t="s">
        <v>106</v>
      </c>
      <c r="C2" s="220"/>
      <c r="D2" s="220"/>
      <c r="E2" s="220"/>
      <c r="F2" s="220"/>
      <c r="G2" s="220"/>
      <c r="H2" s="221"/>
    </row>
    <row r="3" spans="2:8" ht="15" customHeight="1" x14ac:dyDescent="0.3">
      <c r="B3" s="222"/>
      <c r="C3" s="223"/>
      <c r="D3" s="223"/>
      <c r="E3" s="223"/>
      <c r="F3" s="223"/>
      <c r="G3" s="223"/>
      <c r="H3" s="224"/>
    </row>
    <row r="4" spans="2:8" ht="23.25" customHeight="1" thickBot="1" x14ac:dyDescent="0.35">
      <c r="B4" s="225"/>
      <c r="C4" s="226"/>
      <c r="D4" s="226"/>
      <c r="E4" s="226"/>
      <c r="F4" s="226"/>
      <c r="G4" s="226"/>
      <c r="H4" s="227"/>
    </row>
    <row r="5" spans="2:8" ht="96" customHeight="1" x14ac:dyDescent="0.3">
      <c r="B5" s="1"/>
      <c r="C5" s="228" t="s">
        <v>1</v>
      </c>
      <c r="D5" s="228"/>
      <c r="E5" s="228"/>
      <c r="F5" s="228"/>
      <c r="G5" s="228"/>
      <c r="H5" s="27"/>
    </row>
    <row r="6" spans="2:8" x14ac:dyDescent="0.3">
      <c r="B6" s="18"/>
      <c r="C6" s="19" t="s">
        <v>60</v>
      </c>
      <c r="D6" s="20"/>
      <c r="E6" s="20"/>
      <c r="F6" s="20"/>
      <c r="G6" s="20"/>
      <c r="H6" s="21"/>
    </row>
    <row r="7" spans="2:8" x14ac:dyDescent="0.3">
      <c r="B7" s="1"/>
      <c r="C7" s="120" t="s">
        <v>61</v>
      </c>
      <c r="D7" s="119"/>
      <c r="E7" s="2"/>
      <c r="F7" s="120" t="s">
        <v>62</v>
      </c>
      <c r="G7" s="119"/>
      <c r="H7" s="3"/>
    </row>
    <row r="8" spans="2:8" ht="15" customHeight="1" x14ac:dyDescent="0.3">
      <c r="B8" s="1"/>
      <c r="C8" s="25" t="s">
        <v>6</v>
      </c>
      <c r="D8" s="121">
        <f>SUM(Calculations!M7:N7)</f>
        <v>-1056.6971800000001</v>
      </c>
      <c r="E8" s="16"/>
      <c r="F8" s="25" t="s">
        <v>6</v>
      </c>
      <c r="G8" s="121">
        <f>Calculations!O7</f>
        <v>0</v>
      </c>
      <c r="H8" s="17"/>
    </row>
    <row r="9" spans="2:8" ht="26.25" customHeight="1" x14ac:dyDescent="0.3">
      <c r="B9" s="4"/>
      <c r="C9" s="7"/>
      <c r="D9" s="7"/>
      <c r="E9" s="7"/>
      <c r="F9" s="7"/>
      <c r="G9" s="7"/>
      <c r="H9" s="8"/>
    </row>
    <row r="10" spans="2:8" ht="42" customHeight="1" x14ac:dyDescent="0.3">
      <c r="B10" s="4"/>
      <c r="C10" s="28" t="str">
        <f>"Based on your inputs, you are projected to pay €"&amp;TEXT(ROUND(D8,0),"##,###")&amp; " in employee contributions and €"&amp;TEXT(ROUND(G8,0),"##,###")&amp;" in Additional Superannuation Contributions over the next 12 months."</f>
        <v>Based on your inputs, you are projected to pay €-1,057 in employee contributions and € in Additional Superannuation Contributions over the next 12 months.</v>
      </c>
      <c r="D10" s="28"/>
      <c r="E10" s="28"/>
      <c r="F10" s="28"/>
      <c r="G10" s="28"/>
      <c r="H10" s="8"/>
    </row>
    <row r="11" spans="2:8" x14ac:dyDescent="0.3">
      <c r="B11" s="1"/>
      <c r="C11" s="16"/>
      <c r="D11" s="16"/>
      <c r="E11" s="16"/>
      <c r="F11" s="16"/>
      <c r="G11" s="16"/>
      <c r="H11" s="17"/>
    </row>
    <row r="12" spans="2:8" x14ac:dyDescent="0.3">
      <c r="B12" s="18"/>
      <c r="C12" s="19" t="s">
        <v>63</v>
      </c>
      <c r="D12" s="20"/>
      <c r="E12" s="20"/>
      <c r="F12" s="20"/>
      <c r="G12" s="20"/>
      <c r="H12" s="21"/>
    </row>
    <row r="13" spans="2:8" x14ac:dyDescent="0.3">
      <c r="B13" s="4"/>
      <c r="C13" s="28" t="str">
        <f>"Your normal retirement age is "&amp;'Model Parameters'!G12</f>
        <v>Your normal retirement age is 66</v>
      </c>
      <c r="D13" s="28"/>
      <c r="E13" s="28"/>
      <c r="F13" s="28"/>
      <c r="G13" s="28"/>
      <c r="H13" s="8"/>
    </row>
    <row r="14" spans="2:8" x14ac:dyDescent="0.3">
      <c r="B14" s="4"/>
      <c r="C14" s="120" t="s">
        <v>65</v>
      </c>
      <c r="D14" s="119"/>
      <c r="E14" s="2"/>
      <c r="F14" s="120" t="s">
        <v>67</v>
      </c>
      <c r="G14" s="119"/>
      <c r="H14" s="8"/>
    </row>
    <row r="15" spans="2:8" x14ac:dyDescent="0.3">
      <c r="B15" s="4"/>
      <c r="C15" s="25" t="s">
        <v>6</v>
      </c>
      <c r="D15" s="121" t="str">
        <f>Calculations!J9</f>
        <v/>
      </c>
      <c r="E15" s="16" t="s">
        <v>66</v>
      </c>
      <c r="F15" s="25" t="s">
        <v>6</v>
      </c>
      <c r="G15" s="121" t="str">
        <f>Calculations!H9</f>
        <v/>
      </c>
      <c r="H15" s="8"/>
    </row>
    <row r="16" spans="2:8" ht="15" customHeight="1" x14ac:dyDescent="0.3">
      <c r="B16" s="4"/>
      <c r="C16" s="7"/>
      <c r="D16" s="7"/>
      <c r="E16" s="7"/>
      <c r="F16" s="7"/>
      <c r="G16" s="7"/>
      <c r="H16" s="8"/>
    </row>
    <row r="17" spans="2:8" ht="36.75" customHeight="1" x14ac:dyDescent="0.3">
      <c r="B17" s="4"/>
      <c r="C17" s="233" t="e">
        <f>"On the basis of your inputs, you are expected to build up €"&amp;TEXT(ROUND(D15,2),"##,###")&amp;" towards your annual pension entitlement and €"&amp;TEXT(ROUND(G15,2),"##,###")&amp;" towards your retirement lump sum payment over the next 12 months."</f>
        <v>#VALUE!</v>
      </c>
      <c r="D17" s="233"/>
      <c r="E17" s="233"/>
      <c r="F17" s="233"/>
      <c r="G17" s="233"/>
      <c r="H17" s="8"/>
    </row>
    <row r="18" spans="2:8" ht="52.5" customHeight="1" x14ac:dyDescent="0.3">
      <c r="B18" s="4"/>
      <c r="C18" s="234" t="str">
        <f>"The benefits built-up above will be payable from your normal retirement age, i.e. age "&amp;'Model Parameters'!G12&amp;". Your pension and lump sum benefits will be uprated in line with changes in the Consumer Price Index between the year of building up these benefits and the year of your retirement."</f>
        <v>The benefits built-up above will be payable from your normal retirement age, i.e. age 66. Your pension and lump sum benefits will be uprated in line with changes in the Consumer Price Index between the year of building up these benefits and the year of your retirement.</v>
      </c>
      <c r="D18" s="234"/>
      <c r="E18" s="234"/>
      <c r="F18" s="234"/>
      <c r="G18" s="234"/>
      <c r="H18" s="8"/>
    </row>
    <row r="19" spans="2:8" x14ac:dyDescent="0.3">
      <c r="B19" s="18"/>
      <c r="C19" s="19" t="s">
        <v>64</v>
      </c>
      <c r="D19" s="20"/>
      <c r="E19" s="20"/>
      <c r="F19" s="20"/>
      <c r="G19" s="20"/>
      <c r="H19" s="21"/>
    </row>
    <row r="20" spans="2:8" ht="26.25" customHeight="1" x14ac:dyDescent="0.3">
      <c r="B20" s="4"/>
      <c r="C20" s="235" t="s">
        <v>78</v>
      </c>
      <c r="D20" s="235"/>
      <c r="E20" s="235"/>
      <c r="F20" s="235"/>
      <c r="G20" s="235"/>
      <c r="H20" s="8"/>
    </row>
    <row r="21" spans="2:8" ht="15" customHeight="1" x14ac:dyDescent="0.3">
      <c r="B21" s="4"/>
      <c r="C21" s="7"/>
      <c r="D21" s="7"/>
      <c r="E21" s="7"/>
      <c r="F21" s="7"/>
      <c r="G21" s="7"/>
      <c r="H21" s="8"/>
    </row>
    <row r="22" spans="2:8" ht="15" customHeight="1" x14ac:dyDescent="0.3">
      <c r="B22" s="4"/>
      <c r="C22" s="123" t="s">
        <v>104</v>
      </c>
      <c r="D22" s="123"/>
      <c r="E22" s="124"/>
      <c r="F22" s="25" t="s">
        <v>11</v>
      </c>
      <c r="G22" s="26">
        <f>Calculations!R5</f>
        <v>24107</v>
      </c>
      <c r="H22" s="125"/>
    </row>
    <row r="23" spans="2:8" x14ac:dyDescent="0.3">
      <c r="B23" s="4"/>
      <c r="C23" s="123"/>
      <c r="D23" s="123"/>
      <c r="E23" s="124"/>
      <c r="F23" s="123"/>
      <c r="G23" s="123"/>
      <c r="H23" s="125"/>
    </row>
    <row r="24" spans="2:8" x14ac:dyDescent="0.3">
      <c r="B24" s="4"/>
      <c r="C24" s="123" t="s">
        <v>68</v>
      </c>
      <c r="D24" s="123"/>
      <c r="E24" s="124"/>
      <c r="F24" s="25" t="s">
        <v>6</v>
      </c>
      <c r="G24" s="121" t="e">
        <f>Calculations!R12</f>
        <v>#VALUE!</v>
      </c>
      <c r="H24" s="125"/>
    </row>
    <row r="25" spans="2:8" x14ac:dyDescent="0.3">
      <c r="B25" s="4"/>
      <c r="C25" s="123"/>
      <c r="D25" s="123"/>
      <c r="E25" s="123"/>
      <c r="F25" s="123"/>
      <c r="G25" s="123"/>
      <c r="H25" s="125"/>
    </row>
    <row r="26" spans="2:8" x14ac:dyDescent="0.3">
      <c r="B26" s="4"/>
      <c r="C26" s="123" t="s">
        <v>69</v>
      </c>
      <c r="D26" s="123"/>
      <c r="E26" s="123"/>
      <c r="F26" s="25" t="s">
        <v>6</v>
      </c>
      <c r="G26" s="121" t="e">
        <f>Calculations!R11</f>
        <v>#VALUE!</v>
      </c>
      <c r="H26" s="125" t="s">
        <v>66</v>
      </c>
    </row>
    <row r="27" spans="2:8" x14ac:dyDescent="0.3">
      <c r="B27" s="4"/>
      <c r="C27" s="123"/>
      <c r="D27" s="123"/>
      <c r="E27" s="123"/>
      <c r="F27" s="123"/>
      <c r="G27" s="123"/>
      <c r="H27" s="125"/>
    </row>
    <row r="28" spans="2:8" x14ac:dyDescent="0.3">
      <c r="B28" s="4"/>
      <c r="C28" s="123" t="s">
        <v>70</v>
      </c>
      <c r="D28" s="123"/>
      <c r="E28" s="124"/>
      <c r="F28" s="25" t="s">
        <v>6</v>
      </c>
      <c r="G28" s="121">
        <f>'Model Parameters'!G14</f>
        <v>15095.674000000001</v>
      </c>
      <c r="H28" s="125" t="s">
        <v>66</v>
      </c>
    </row>
    <row r="29" spans="2:8" ht="71.25" customHeight="1" x14ac:dyDescent="0.3">
      <c r="B29" s="4"/>
      <c r="C29" s="126" t="s">
        <v>71</v>
      </c>
      <c r="D29" s="126"/>
      <c r="E29" s="126"/>
      <c r="F29" s="127"/>
      <c r="G29" s="127"/>
      <c r="H29" s="125"/>
    </row>
    <row r="30" spans="2:8" ht="15" customHeight="1" x14ac:dyDescent="0.3">
      <c r="B30" s="18"/>
      <c r="C30" s="19" t="s">
        <v>72</v>
      </c>
      <c r="D30" s="20"/>
      <c r="E30" s="20"/>
      <c r="F30" s="20"/>
      <c r="G30" s="128">
        <f ca="1">TODAY()</f>
        <v>46199</v>
      </c>
      <c r="H30" s="21"/>
    </row>
    <row r="31" spans="2:8" ht="70.5" customHeight="1" x14ac:dyDescent="0.3">
      <c r="B31" s="129"/>
      <c r="C31" s="236" t="s">
        <v>73</v>
      </c>
      <c r="D31" s="236"/>
      <c r="E31" s="236"/>
      <c r="F31" s="236"/>
      <c r="G31" s="236"/>
      <c r="H31" s="130"/>
    </row>
    <row r="32" spans="2:8" x14ac:dyDescent="0.3">
      <c r="B32" s="18"/>
      <c r="C32" s="19" t="s">
        <v>74</v>
      </c>
      <c r="D32" s="20"/>
      <c r="E32" s="20"/>
      <c r="F32" s="20"/>
      <c r="G32" s="128"/>
      <c r="H32" s="21"/>
    </row>
    <row r="33" spans="2:8" ht="15" customHeight="1" x14ac:dyDescent="0.3">
      <c r="B33" s="4"/>
      <c r="C33" s="204" t="s">
        <v>112</v>
      </c>
      <c r="D33" s="127"/>
      <c r="E33" s="127"/>
      <c r="F33" s="127"/>
      <c r="G33" s="127"/>
      <c r="H33" s="125"/>
    </row>
    <row r="34" spans="2:8" ht="15" thickBot="1" x14ac:dyDescent="0.35">
      <c r="B34" s="4"/>
      <c r="C34" s="123"/>
      <c r="D34" s="123"/>
      <c r="E34" s="123"/>
      <c r="F34" s="123"/>
      <c r="G34" s="123"/>
      <c r="H34" s="125"/>
    </row>
    <row r="35" spans="2:8" x14ac:dyDescent="0.3">
      <c r="B35" s="4"/>
      <c r="C35" s="131" t="s">
        <v>2</v>
      </c>
      <c r="D35" s="132"/>
      <c r="E35" s="133"/>
      <c r="F35" s="231" t="str">
        <f>Inputs!D11</f>
        <v>Standard</v>
      </c>
      <c r="G35" s="232"/>
      <c r="H35" s="125"/>
    </row>
    <row r="36" spans="2:8" x14ac:dyDescent="0.3">
      <c r="B36" s="4"/>
      <c r="C36" s="134" t="s">
        <v>75</v>
      </c>
      <c r="D36" s="135"/>
      <c r="E36" s="136"/>
      <c r="F36" s="137"/>
      <c r="G36" s="146">
        <f>Inputs!D23</f>
        <v>0</v>
      </c>
      <c r="H36" s="125"/>
    </row>
    <row r="37" spans="2:8" x14ac:dyDescent="0.3">
      <c r="B37" s="4"/>
      <c r="C37" s="134" t="s">
        <v>76</v>
      </c>
      <c r="D37" s="135"/>
      <c r="E37" s="136"/>
      <c r="F37" s="145"/>
      <c r="G37" s="138">
        <f>IF(Inputs!D28="",1,Inputs!D28)</f>
        <v>1</v>
      </c>
      <c r="H37" s="125"/>
    </row>
    <row r="38" spans="2:8" x14ac:dyDescent="0.3">
      <c r="B38" s="4"/>
      <c r="C38" s="134" t="s">
        <v>77</v>
      </c>
      <c r="D38" s="135"/>
      <c r="E38" s="136"/>
      <c r="F38" s="137"/>
      <c r="G38" s="144">
        <f>Inputs!D7</f>
        <v>0</v>
      </c>
      <c r="H38" s="125"/>
    </row>
    <row r="39" spans="2:8" ht="15" thickBot="1" x14ac:dyDescent="0.35">
      <c r="B39" s="4"/>
      <c r="C39" s="139" t="s">
        <v>16</v>
      </c>
      <c r="D39" s="140"/>
      <c r="E39" s="141"/>
      <c r="F39" s="142"/>
      <c r="G39" s="143">
        <f>Inputs!D19</f>
        <v>2024</v>
      </c>
      <c r="H39" s="125"/>
    </row>
    <row r="40" spans="2:8" x14ac:dyDescent="0.3">
      <c r="B40" s="4"/>
      <c r="C40" s="123"/>
      <c r="D40" s="123"/>
      <c r="E40" s="123"/>
      <c r="F40" s="123"/>
      <c r="G40" s="123"/>
      <c r="H40" s="125"/>
    </row>
    <row r="41" spans="2:8" x14ac:dyDescent="0.3">
      <c r="B41" s="4"/>
      <c r="C41" s="123"/>
      <c r="D41" s="123"/>
      <c r="E41" s="123"/>
      <c r="F41" s="123"/>
      <c r="G41" s="123"/>
      <c r="H41" s="125"/>
    </row>
    <row r="42" spans="2:8" x14ac:dyDescent="0.3">
      <c r="B42" s="4"/>
      <c r="C42" s="123"/>
      <c r="D42" s="123"/>
      <c r="E42" s="123"/>
      <c r="F42" s="123"/>
      <c r="G42" s="123"/>
      <c r="H42" s="125"/>
    </row>
    <row r="43" spans="2:8" ht="15" thickBot="1" x14ac:dyDescent="0.35">
      <c r="B43" s="200"/>
      <c r="C43" s="201"/>
      <c r="D43" s="201"/>
      <c r="E43" s="201"/>
      <c r="F43" s="201"/>
      <c r="G43" s="201"/>
      <c r="H43" s="202"/>
    </row>
  </sheetData>
  <sheetProtection selectLockedCells="1"/>
  <customSheetViews>
    <customSheetView guid="{4E701ADD-B653-400C-8A42-0AC861206E5A}">
      <selection activeCell="D15" sqref="D15"/>
      <pageMargins left="0.7" right="0.7" top="0.75" bottom="0.75" header="0.3" footer="0.3"/>
    </customSheetView>
    <customSheetView guid="{2A619B68-536F-426D-BFE9-EE04724DEF36}" state="hidden" topLeftCell="A10">
      <selection activeCell="K25" sqref="K25"/>
      <pageMargins left="0.7" right="0.7" top="0.75" bottom="0.75" header="0.3" footer="0.3"/>
    </customSheetView>
    <customSheetView guid="{1605CA2C-FF00-4896-997A-CEBF2520096B}" state="hidden" topLeftCell="A10">
      <selection activeCell="K25" sqref="K25"/>
      <pageMargins left="0.7" right="0.7" top="0.75" bottom="0.75" header="0.3" footer="0.3"/>
    </customSheetView>
    <customSheetView guid="{3A4D590C-9376-45C5-87AA-FF7CE0EBE4F9}" state="hidden" topLeftCell="A10">
      <selection activeCell="K25" sqref="K25"/>
      <pageMargins left="0.7" right="0.7" top="0.75" bottom="0.75" header="0.3" footer="0.3"/>
    </customSheetView>
    <customSheetView guid="{94C6E1F2-1311-446C-ACA2-771EF249BF12}" topLeftCell="A10">
      <selection activeCell="K25" sqref="K25"/>
      <pageMargins left="0.7" right="0.7" top="0.75" bottom="0.75" header="0.3" footer="0.3"/>
    </customSheetView>
  </customSheetViews>
  <mergeCells count="7">
    <mergeCell ref="B2:H4"/>
    <mergeCell ref="C5:G5"/>
    <mergeCell ref="F35:G35"/>
    <mergeCell ref="C17:G17"/>
    <mergeCell ref="C18:G18"/>
    <mergeCell ref="C20:G20"/>
    <mergeCell ref="C31:G3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5" r:id="rId3" name="Button 5">
              <controlPr defaultSize="0" print="0" autoFill="0" autoPict="0" macro="[0]!Sheet1.Switch_to_Inputs_Outputs">
                <anchor moveWithCells="1" sizeWithCells="1">
                  <from>
                    <xdr:col>5</xdr:col>
                    <xdr:colOff>22860</xdr:colOff>
                    <xdr:row>40</xdr:row>
                    <xdr:rowOff>137160</xdr:rowOff>
                  </from>
                  <to>
                    <xdr:col>6</xdr:col>
                    <xdr:colOff>746760</xdr:colOff>
                    <xdr:row>41</xdr:row>
                    <xdr:rowOff>182880</xdr:rowOff>
                  </to>
                </anchor>
              </controlPr>
            </control>
          </mc:Choice>
        </mc:AlternateContent>
        <mc:AlternateContent xmlns:mc="http://schemas.openxmlformats.org/markup-compatibility/2006">
          <mc:Choice Requires="x14">
            <control shapeId="5130" r:id="rId4" name="Button 10">
              <controlPr defaultSize="0" print="0" autoFill="0" autoPict="0" macro="[0]!Sheet1.Return_to_Disclaimer_Outputs">
                <anchor moveWithCells="1" sizeWithCells="1">
                  <from>
                    <xdr:col>1</xdr:col>
                    <xdr:colOff>251460</xdr:colOff>
                    <xdr:row>40</xdr:row>
                    <xdr:rowOff>144780</xdr:rowOff>
                  </from>
                  <to>
                    <xdr:col>2</xdr:col>
                    <xdr:colOff>2994660</xdr:colOff>
                    <xdr:row>42</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C35FE-B9C8-4971-B1D7-BC903BC21637}">
  <sheetPr codeName="Sheet5"/>
  <dimension ref="B2:G102"/>
  <sheetViews>
    <sheetView workbookViewId="0"/>
  </sheetViews>
  <sheetFormatPr defaultRowHeight="14.4" x14ac:dyDescent="0.3"/>
  <cols>
    <col min="2" max="2" width="16" bestFit="1" customWidth="1"/>
    <col min="3" max="3" width="19.109375" bestFit="1" customWidth="1"/>
    <col min="4" max="4" width="15.109375" bestFit="1" customWidth="1"/>
    <col min="5" max="5" width="16.44140625" bestFit="1" customWidth="1"/>
    <col min="6" max="6" width="26.33203125" bestFit="1" customWidth="1"/>
    <col min="7" max="7" width="13.5546875" bestFit="1" customWidth="1"/>
    <col min="8" max="8" width="13.88671875" bestFit="1" customWidth="1"/>
  </cols>
  <sheetData>
    <row r="2" spans="2:7" x14ac:dyDescent="0.3">
      <c r="B2" t="s">
        <v>25</v>
      </c>
      <c r="C2" t="s">
        <v>2</v>
      </c>
      <c r="D2" t="s">
        <v>5</v>
      </c>
      <c r="E2" t="s">
        <v>26</v>
      </c>
      <c r="F2" s="203" t="s">
        <v>110</v>
      </c>
      <c r="G2" t="s">
        <v>111</v>
      </c>
    </row>
    <row r="3" spans="2:7" x14ac:dyDescent="0.3">
      <c r="B3">
        <f ca="1">YEAR(TODAY())-1</f>
        <v>2025</v>
      </c>
      <c r="C3" t="s">
        <v>4</v>
      </c>
      <c r="D3">
        <v>50</v>
      </c>
      <c r="E3" s="34">
        <v>1</v>
      </c>
      <c r="F3" t="b">
        <v>0</v>
      </c>
      <c r="G3" t="b">
        <v>0</v>
      </c>
    </row>
    <row r="4" spans="2:7" x14ac:dyDescent="0.3">
      <c r="C4" t="s">
        <v>20</v>
      </c>
      <c r="D4">
        <v>51</v>
      </c>
      <c r="E4" s="34">
        <v>0.99</v>
      </c>
    </row>
    <row r="5" spans="2:7" x14ac:dyDescent="0.3">
      <c r="C5" t="s">
        <v>21</v>
      </c>
      <c r="D5">
        <v>52</v>
      </c>
      <c r="E5" s="34">
        <v>0.98</v>
      </c>
    </row>
    <row r="6" spans="2:7" x14ac:dyDescent="0.3">
      <c r="C6" t="s">
        <v>22</v>
      </c>
      <c r="D6">
        <v>53</v>
      </c>
      <c r="E6" s="34">
        <v>0.97</v>
      </c>
    </row>
    <row r="7" spans="2:7" x14ac:dyDescent="0.3">
      <c r="D7">
        <v>54</v>
      </c>
      <c r="E7" s="34">
        <v>0.96</v>
      </c>
    </row>
    <row r="8" spans="2:7" x14ac:dyDescent="0.3">
      <c r="D8">
        <v>55</v>
      </c>
      <c r="E8" s="34">
        <v>0.95</v>
      </c>
    </row>
    <row r="9" spans="2:7" x14ac:dyDescent="0.3">
      <c r="D9">
        <v>56</v>
      </c>
      <c r="E9" s="34">
        <v>0.94</v>
      </c>
    </row>
    <row r="10" spans="2:7" x14ac:dyDescent="0.3">
      <c r="D10">
        <v>57</v>
      </c>
      <c r="E10" s="34">
        <v>0.92999999999999994</v>
      </c>
    </row>
    <row r="11" spans="2:7" x14ac:dyDescent="0.3">
      <c r="D11">
        <v>58</v>
      </c>
      <c r="E11" s="34">
        <v>0.91999999999999993</v>
      </c>
    </row>
    <row r="12" spans="2:7" x14ac:dyDescent="0.3">
      <c r="D12">
        <v>59</v>
      </c>
      <c r="E12" s="34">
        <v>0.90999999999999992</v>
      </c>
    </row>
    <row r="13" spans="2:7" x14ac:dyDescent="0.3">
      <c r="D13">
        <v>60</v>
      </c>
      <c r="E13" s="34">
        <v>0.89999999999999991</v>
      </c>
    </row>
    <row r="14" spans="2:7" x14ac:dyDescent="0.3">
      <c r="D14">
        <v>61</v>
      </c>
      <c r="E14" s="34">
        <v>0.8899999999999999</v>
      </c>
    </row>
    <row r="15" spans="2:7" x14ac:dyDescent="0.3">
      <c r="D15">
        <v>62</v>
      </c>
      <c r="E15" s="34">
        <v>0.87999999999999989</v>
      </c>
    </row>
    <row r="16" spans="2:7" x14ac:dyDescent="0.3">
      <c r="D16">
        <v>63</v>
      </c>
      <c r="E16" s="34">
        <v>0.86999999999999988</v>
      </c>
    </row>
    <row r="17" spans="4:5" x14ac:dyDescent="0.3">
      <c r="D17">
        <v>64</v>
      </c>
      <c r="E17" s="34">
        <v>0.85999999999999988</v>
      </c>
    </row>
    <row r="18" spans="4:5" x14ac:dyDescent="0.3">
      <c r="D18">
        <v>65</v>
      </c>
      <c r="E18" s="34">
        <v>0.84999999999999987</v>
      </c>
    </row>
    <row r="19" spans="4:5" x14ac:dyDescent="0.3">
      <c r="E19" s="34">
        <v>0.83999999999999986</v>
      </c>
    </row>
    <row r="20" spans="4:5" x14ac:dyDescent="0.3">
      <c r="E20" s="34">
        <v>0.82999999999999985</v>
      </c>
    </row>
    <row r="21" spans="4:5" x14ac:dyDescent="0.3">
      <c r="E21" s="34">
        <v>0.81999999999999984</v>
      </c>
    </row>
    <row r="22" spans="4:5" x14ac:dyDescent="0.3">
      <c r="E22" s="34">
        <v>0.80999999999999983</v>
      </c>
    </row>
    <row r="23" spans="4:5" x14ac:dyDescent="0.3">
      <c r="E23" s="34">
        <v>0.79999999999999982</v>
      </c>
    </row>
    <row r="24" spans="4:5" x14ac:dyDescent="0.3">
      <c r="E24" s="34">
        <v>0.78999999999999981</v>
      </c>
    </row>
    <row r="25" spans="4:5" x14ac:dyDescent="0.3">
      <c r="E25" s="34">
        <v>0.7799999999999998</v>
      </c>
    </row>
    <row r="26" spans="4:5" x14ac:dyDescent="0.3">
      <c r="E26" s="34">
        <v>0.7699999999999998</v>
      </c>
    </row>
    <row r="27" spans="4:5" x14ac:dyDescent="0.3">
      <c r="E27" s="34">
        <v>0.75999999999999979</v>
      </c>
    </row>
    <row r="28" spans="4:5" x14ac:dyDescent="0.3">
      <c r="E28" s="34">
        <v>0.74999999999999978</v>
      </c>
    </row>
    <row r="29" spans="4:5" x14ac:dyDescent="0.3">
      <c r="E29" s="34">
        <v>0.73999999999999977</v>
      </c>
    </row>
    <row r="30" spans="4:5" x14ac:dyDescent="0.3">
      <c r="E30" s="34">
        <v>0.72999999999999976</v>
      </c>
    </row>
    <row r="31" spans="4:5" x14ac:dyDescent="0.3">
      <c r="E31" s="34">
        <v>0.71999999999999975</v>
      </c>
    </row>
    <row r="32" spans="4:5" x14ac:dyDescent="0.3">
      <c r="E32" s="34">
        <v>0.70999999999999974</v>
      </c>
    </row>
    <row r="33" spans="5:5" x14ac:dyDescent="0.3">
      <c r="E33" s="34">
        <v>0.69999999999999973</v>
      </c>
    </row>
    <row r="34" spans="5:5" x14ac:dyDescent="0.3">
      <c r="E34" s="34">
        <v>0.68999999999999972</v>
      </c>
    </row>
    <row r="35" spans="5:5" x14ac:dyDescent="0.3">
      <c r="E35" s="34">
        <v>0.67999999999999972</v>
      </c>
    </row>
    <row r="36" spans="5:5" x14ac:dyDescent="0.3">
      <c r="E36" s="34">
        <v>0.66999999999999971</v>
      </c>
    </row>
    <row r="37" spans="5:5" x14ac:dyDescent="0.3">
      <c r="E37" s="34">
        <v>0.6599999999999997</v>
      </c>
    </row>
    <row r="38" spans="5:5" x14ac:dyDescent="0.3">
      <c r="E38" s="34">
        <v>0.64999999999999969</v>
      </c>
    </row>
    <row r="39" spans="5:5" x14ac:dyDescent="0.3">
      <c r="E39" s="34">
        <v>0.63999999999999968</v>
      </c>
    </row>
    <row r="40" spans="5:5" x14ac:dyDescent="0.3">
      <c r="E40" s="34">
        <v>0.62999999999999967</v>
      </c>
    </row>
    <row r="41" spans="5:5" x14ac:dyDescent="0.3">
      <c r="E41" s="34">
        <v>0.61999999999999966</v>
      </c>
    </row>
    <row r="42" spans="5:5" x14ac:dyDescent="0.3">
      <c r="E42" s="34">
        <v>0.60999999999999965</v>
      </c>
    </row>
    <row r="43" spans="5:5" x14ac:dyDescent="0.3">
      <c r="E43" s="34">
        <v>0.59999999999999964</v>
      </c>
    </row>
    <row r="44" spans="5:5" x14ac:dyDescent="0.3">
      <c r="E44" s="34">
        <v>0.58999999999999964</v>
      </c>
    </row>
    <row r="45" spans="5:5" x14ac:dyDescent="0.3">
      <c r="E45" s="34">
        <v>0.57999999999999963</v>
      </c>
    </row>
    <row r="46" spans="5:5" x14ac:dyDescent="0.3">
      <c r="E46" s="34">
        <v>0.56999999999999962</v>
      </c>
    </row>
    <row r="47" spans="5:5" x14ac:dyDescent="0.3">
      <c r="E47" s="34">
        <v>0.55999999999999961</v>
      </c>
    </row>
    <row r="48" spans="5:5" x14ac:dyDescent="0.3">
      <c r="E48" s="34">
        <v>0.5499999999999996</v>
      </c>
    </row>
    <row r="49" spans="5:5" x14ac:dyDescent="0.3">
      <c r="E49" s="34">
        <v>0.53999999999999959</v>
      </c>
    </row>
    <row r="50" spans="5:5" x14ac:dyDescent="0.3">
      <c r="E50" s="34">
        <v>0.52999999999999958</v>
      </c>
    </row>
    <row r="51" spans="5:5" x14ac:dyDescent="0.3">
      <c r="E51" s="34">
        <v>0.51999999999999957</v>
      </c>
    </row>
    <row r="52" spans="5:5" x14ac:dyDescent="0.3">
      <c r="E52" s="34">
        <v>0.50999999999999956</v>
      </c>
    </row>
    <row r="53" spans="5:5" x14ac:dyDescent="0.3">
      <c r="E53" s="34">
        <v>0.49999999999999956</v>
      </c>
    </row>
    <row r="54" spans="5:5" x14ac:dyDescent="0.3">
      <c r="E54" s="34">
        <v>0.48999999999999955</v>
      </c>
    </row>
    <row r="55" spans="5:5" x14ac:dyDescent="0.3">
      <c r="E55" s="34">
        <v>0.47999999999999954</v>
      </c>
    </row>
    <row r="56" spans="5:5" x14ac:dyDescent="0.3">
      <c r="E56" s="34">
        <v>0.46999999999999953</v>
      </c>
    </row>
    <row r="57" spans="5:5" x14ac:dyDescent="0.3">
      <c r="E57" s="34">
        <v>0.45999999999999952</v>
      </c>
    </row>
    <row r="58" spans="5:5" x14ac:dyDescent="0.3">
      <c r="E58" s="34">
        <v>0.44999999999999951</v>
      </c>
    </row>
    <row r="59" spans="5:5" x14ac:dyDescent="0.3">
      <c r="E59" s="34">
        <v>0.4399999999999995</v>
      </c>
    </row>
    <row r="60" spans="5:5" x14ac:dyDescent="0.3">
      <c r="E60" s="34">
        <v>0.42999999999999949</v>
      </c>
    </row>
    <row r="61" spans="5:5" x14ac:dyDescent="0.3">
      <c r="E61" s="34">
        <v>0.41999999999999948</v>
      </c>
    </row>
    <row r="62" spans="5:5" x14ac:dyDescent="0.3">
      <c r="E62" s="34">
        <v>0.40999999999999948</v>
      </c>
    </row>
    <row r="63" spans="5:5" x14ac:dyDescent="0.3">
      <c r="E63" s="34">
        <v>0.39999999999999947</v>
      </c>
    </row>
    <row r="64" spans="5:5" x14ac:dyDescent="0.3">
      <c r="E64" s="34">
        <v>0.38999999999999946</v>
      </c>
    </row>
    <row r="65" spans="5:5" x14ac:dyDescent="0.3">
      <c r="E65" s="34">
        <v>0.37999999999999945</v>
      </c>
    </row>
    <row r="66" spans="5:5" x14ac:dyDescent="0.3">
      <c r="E66" s="34">
        <v>0.36999999999999944</v>
      </c>
    </row>
    <row r="67" spans="5:5" x14ac:dyDescent="0.3">
      <c r="E67" s="34">
        <v>0.35999999999999943</v>
      </c>
    </row>
    <row r="68" spans="5:5" x14ac:dyDescent="0.3">
      <c r="E68" s="34">
        <v>0.34999999999999942</v>
      </c>
    </row>
    <row r="69" spans="5:5" x14ac:dyDescent="0.3">
      <c r="E69" s="34">
        <v>0.33999999999999941</v>
      </c>
    </row>
    <row r="70" spans="5:5" x14ac:dyDescent="0.3">
      <c r="E70" s="34">
        <v>0.3299999999999994</v>
      </c>
    </row>
    <row r="71" spans="5:5" x14ac:dyDescent="0.3">
      <c r="E71" s="34">
        <v>0.3199999999999994</v>
      </c>
    </row>
    <row r="72" spans="5:5" x14ac:dyDescent="0.3">
      <c r="E72" s="34">
        <v>0.30999999999999939</v>
      </c>
    </row>
    <row r="73" spans="5:5" x14ac:dyDescent="0.3">
      <c r="E73" s="34">
        <v>0.29999999999999938</v>
      </c>
    </row>
    <row r="74" spans="5:5" x14ac:dyDescent="0.3">
      <c r="E74" s="34">
        <v>0.28999999999999937</v>
      </c>
    </row>
    <row r="75" spans="5:5" x14ac:dyDescent="0.3">
      <c r="E75" s="34">
        <v>0.27999999999999936</v>
      </c>
    </row>
    <row r="76" spans="5:5" x14ac:dyDescent="0.3">
      <c r="E76" s="34">
        <v>0.26999999999999935</v>
      </c>
    </row>
    <row r="77" spans="5:5" x14ac:dyDescent="0.3">
      <c r="E77" s="34">
        <v>0.25999999999999934</v>
      </c>
    </row>
    <row r="78" spans="5:5" x14ac:dyDescent="0.3">
      <c r="E78" s="34">
        <v>0.24999999999999933</v>
      </c>
    </row>
    <row r="79" spans="5:5" x14ac:dyDescent="0.3">
      <c r="E79" s="34">
        <v>0.23999999999999932</v>
      </c>
    </row>
    <row r="80" spans="5:5" x14ac:dyDescent="0.3">
      <c r="E80" s="34">
        <v>0.22999999999999932</v>
      </c>
    </row>
    <row r="81" spans="5:5" x14ac:dyDescent="0.3">
      <c r="E81" s="34">
        <v>0.21999999999999931</v>
      </c>
    </row>
    <row r="82" spans="5:5" x14ac:dyDescent="0.3">
      <c r="E82" s="34">
        <v>0.2099999999999993</v>
      </c>
    </row>
    <row r="83" spans="5:5" x14ac:dyDescent="0.3">
      <c r="E83" s="34">
        <v>0.19999999999999929</v>
      </c>
    </row>
    <row r="84" spans="5:5" x14ac:dyDescent="0.3">
      <c r="E84" s="34">
        <v>0.18999999999999928</v>
      </c>
    </row>
    <row r="85" spans="5:5" x14ac:dyDescent="0.3">
      <c r="E85" s="34">
        <v>0.17999999999999927</v>
      </c>
    </row>
    <row r="86" spans="5:5" x14ac:dyDescent="0.3">
      <c r="E86" s="34">
        <v>0.16999999999999926</v>
      </c>
    </row>
    <row r="87" spans="5:5" x14ac:dyDescent="0.3">
      <c r="E87" s="34">
        <v>0.15999999999999925</v>
      </c>
    </row>
    <row r="88" spans="5:5" x14ac:dyDescent="0.3">
      <c r="E88" s="34">
        <v>0.14999999999999925</v>
      </c>
    </row>
    <row r="89" spans="5:5" x14ac:dyDescent="0.3">
      <c r="E89" s="34">
        <v>0.13999999999999924</v>
      </c>
    </row>
    <row r="90" spans="5:5" x14ac:dyDescent="0.3">
      <c r="E90" s="34">
        <v>0.12999999999999923</v>
      </c>
    </row>
    <row r="91" spans="5:5" x14ac:dyDescent="0.3">
      <c r="E91" s="34">
        <v>0.11999999999999923</v>
      </c>
    </row>
    <row r="92" spans="5:5" x14ac:dyDescent="0.3">
      <c r="E92" s="34">
        <v>0.10999999999999924</v>
      </c>
    </row>
    <row r="93" spans="5:5" x14ac:dyDescent="0.3">
      <c r="E93" s="34">
        <v>9.9999999999999242E-2</v>
      </c>
    </row>
    <row r="94" spans="5:5" x14ac:dyDescent="0.3">
      <c r="E94" s="34">
        <v>8.9999999999999247E-2</v>
      </c>
    </row>
    <row r="95" spans="5:5" x14ac:dyDescent="0.3">
      <c r="E95" s="34">
        <v>7.9999999999999252E-2</v>
      </c>
    </row>
    <row r="96" spans="5:5" x14ac:dyDescent="0.3">
      <c r="E96" s="34">
        <v>6.9999999999999257E-2</v>
      </c>
    </row>
    <row r="97" spans="5:5" x14ac:dyDescent="0.3">
      <c r="E97" s="34">
        <v>5.9999999999999255E-2</v>
      </c>
    </row>
    <row r="98" spans="5:5" x14ac:dyDescent="0.3">
      <c r="E98" s="34">
        <v>4.9999999999999253E-2</v>
      </c>
    </row>
    <row r="99" spans="5:5" x14ac:dyDescent="0.3">
      <c r="E99" s="34">
        <v>3.9999999999999251E-2</v>
      </c>
    </row>
    <row r="100" spans="5:5" x14ac:dyDescent="0.3">
      <c r="E100" s="34">
        <v>2.9999999999999249E-2</v>
      </c>
    </row>
    <row r="101" spans="5:5" x14ac:dyDescent="0.3">
      <c r="E101" s="34">
        <v>1.9999999999999248E-2</v>
      </c>
    </row>
    <row r="102" spans="5:5" x14ac:dyDescent="0.3">
      <c r="E102" s="34">
        <v>9.9999999999992473E-3</v>
      </c>
    </row>
  </sheetData>
  <sheetProtection selectLockedCells="1"/>
  <customSheetViews>
    <customSheetView guid="{4E701ADD-B653-400C-8A42-0AC861206E5A}" state="hidden">
      <selection activeCell="H3" sqref="H3"/>
      <pageMargins left="0.7" right="0.7" top="0.75" bottom="0.75" header="0.3" footer="0.3"/>
    </customSheetView>
    <customSheetView guid="{2A619B68-536F-426D-BFE9-EE04724DEF36}" state="hidden">
      <selection activeCell="H3" sqref="H3"/>
      <pageMargins left="0.7" right="0.7" top="0.75" bottom="0.75" header="0.3" footer="0.3"/>
    </customSheetView>
    <customSheetView guid="{1605CA2C-FF00-4896-997A-CEBF2520096B}" state="hidden">
      <selection activeCell="H3" sqref="H3"/>
      <pageMargins left="0.7" right="0.7" top="0.75" bottom="0.75" header="0.3" footer="0.3"/>
    </customSheetView>
    <customSheetView guid="{3A4D590C-9376-45C5-87AA-FF7CE0EBE4F9}" state="hidden">
      <selection activeCell="H3" sqref="H3"/>
      <pageMargins left="0.7" right="0.7" top="0.75" bottom="0.75" header="0.3" footer="0.3"/>
    </customSheetView>
    <customSheetView guid="{94C6E1F2-1311-446C-ACA2-771EF249BF12}">
      <selection activeCell="H3" sqref="H3"/>
      <pageMargins left="0.7" right="0.7" top="0.75" bottom="0.75" header="0.3" footer="0.3"/>
    </customSheetView>
  </customSheetView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31DAB-E6DD-44AB-A841-264C307CD24C}">
  <sheetPr codeName="Sheet6"/>
  <dimension ref="B1:X30"/>
  <sheetViews>
    <sheetView workbookViewId="0"/>
  </sheetViews>
  <sheetFormatPr defaultRowHeight="14.4" x14ac:dyDescent="0.3"/>
  <cols>
    <col min="2" max="2" width="24.33203125" bestFit="1" customWidth="1"/>
    <col min="3" max="3" width="8.88671875" bestFit="1" customWidth="1"/>
    <col min="4" max="4" width="19.109375" bestFit="1" customWidth="1"/>
    <col min="7" max="7" width="7.88671875" bestFit="1" customWidth="1"/>
    <col min="8" max="8" width="12.88671875" bestFit="1" customWidth="1"/>
    <col min="9" max="9" width="11.5546875" bestFit="1" customWidth="1"/>
    <col min="13" max="13" width="55.33203125" bestFit="1" customWidth="1"/>
    <col min="14" max="14" width="5.5546875" bestFit="1" customWidth="1"/>
    <col min="16" max="16" width="15.109375" bestFit="1" customWidth="1"/>
    <col min="17" max="19" width="8.6640625" bestFit="1" customWidth="1"/>
  </cols>
  <sheetData>
    <row r="1" spans="2:24" ht="15" thickBot="1" x14ac:dyDescent="0.35"/>
    <row r="2" spans="2:24" ht="15" thickBot="1" x14ac:dyDescent="0.35">
      <c r="B2" s="39" t="s">
        <v>27</v>
      </c>
      <c r="C2" s="40"/>
      <c r="D2" s="40"/>
      <c r="E2" s="40"/>
      <c r="F2" s="40"/>
      <c r="G2" s="41"/>
      <c r="I2" s="64" t="s">
        <v>43</v>
      </c>
      <c r="J2" s="65"/>
      <c r="K2" s="66"/>
      <c r="M2" s="39" t="s">
        <v>49</v>
      </c>
      <c r="N2" s="77"/>
      <c r="P2" s="64" t="s">
        <v>51</v>
      </c>
      <c r="Q2" s="65"/>
      <c r="R2" s="65"/>
      <c r="S2" s="66"/>
      <c r="U2" s="92" t="s">
        <v>52</v>
      </c>
      <c r="V2" s="93"/>
      <c r="W2" s="93"/>
      <c r="X2" s="66"/>
    </row>
    <row r="3" spans="2:24" ht="15" thickBot="1" x14ac:dyDescent="0.35">
      <c r="B3" s="42" t="s">
        <v>28</v>
      </c>
      <c r="C3" s="43"/>
      <c r="D3" s="44"/>
      <c r="E3" s="44"/>
      <c r="F3" s="44"/>
      <c r="G3" s="45"/>
      <c r="I3" s="67" t="s">
        <v>44</v>
      </c>
      <c r="J3" s="68"/>
      <c r="K3" s="69" t="s">
        <v>45</v>
      </c>
      <c r="M3" s="78">
        <v>2013</v>
      </c>
      <c r="N3" s="79" t="s">
        <v>50</v>
      </c>
      <c r="P3" s="46">
        <v>2017</v>
      </c>
      <c r="Q3" s="83">
        <v>42736</v>
      </c>
      <c r="R3" s="83">
        <v>42803</v>
      </c>
      <c r="S3" s="84">
        <v>43100</v>
      </c>
      <c r="U3" s="94" t="s">
        <v>53</v>
      </c>
      <c r="V3" s="95" t="s">
        <v>54</v>
      </c>
      <c r="W3" s="95" t="s">
        <v>55</v>
      </c>
      <c r="X3" s="96" t="s">
        <v>56</v>
      </c>
    </row>
    <row r="4" spans="2:24" x14ac:dyDescent="0.3">
      <c r="B4" s="46" t="s">
        <v>29</v>
      </c>
      <c r="C4" s="44"/>
      <c r="D4" s="44"/>
      <c r="E4" s="44"/>
      <c r="F4" s="44"/>
      <c r="G4" s="47">
        <f>IF(Inputs!$D$11="Judge",$E25,IF(Inputs!$D$11="Uniform",$F25,$C25))</f>
        <v>3.7499999999999999E-2</v>
      </c>
      <c r="I4" s="70" t="s">
        <v>46</v>
      </c>
      <c r="J4" s="71">
        <v>34500</v>
      </c>
      <c r="K4" s="72">
        <v>0</v>
      </c>
      <c r="M4" s="78">
        <v>2014</v>
      </c>
      <c r="N4" s="80">
        <v>1</v>
      </c>
      <c r="P4" s="46">
        <v>2018</v>
      </c>
      <c r="Q4" s="83">
        <v>43101</v>
      </c>
      <c r="R4" s="83">
        <v>43184</v>
      </c>
      <c r="S4" s="84">
        <v>43465</v>
      </c>
      <c r="U4" s="97">
        <v>2013</v>
      </c>
      <c r="V4" s="98"/>
      <c r="W4" s="98"/>
      <c r="X4" s="80">
        <v>230.3</v>
      </c>
    </row>
    <row r="5" spans="2:24" ht="20.399999999999999" x14ac:dyDescent="0.3">
      <c r="B5" s="46" t="s">
        <v>30</v>
      </c>
      <c r="C5" s="44"/>
      <c r="D5" s="44"/>
      <c r="E5" s="44"/>
      <c r="F5" s="44"/>
      <c r="G5" s="47">
        <f>IF(Inputs!$D$11="Judge",$E26,IF(Inputs!$D$11="Uniform",$F26,$C26))</f>
        <v>1.2500000000000001E-2</v>
      </c>
      <c r="I5" s="70" t="s">
        <v>47</v>
      </c>
      <c r="J5" s="71">
        <v>60000</v>
      </c>
      <c r="K5" s="73">
        <v>3.3300000000000003E-2</v>
      </c>
      <c r="M5" s="78">
        <v>2015</v>
      </c>
      <c r="N5" s="80">
        <v>1.0009999999999999</v>
      </c>
      <c r="P5" s="85">
        <v>2019</v>
      </c>
      <c r="Q5" s="86">
        <v>43466</v>
      </c>
      <c r="R5" s="87">
        <v>43548</v>
      </c>
      <c r="S5" s="88">
        <v>43830</v>
      </c>
      <c r="U5" s="97">
        <v>2014</v>
      </c>
      <c r="V5" s="98"/>
      <c r="W5" s="98"/>
      <c r="X5" s="80">
        <v>230.3</v>
      </c>
    </row>
    <row r="6" spans="2:24" ht="15" thickBot="1" x14ac:dyDescent="0.35">
      <c r="B6" s="46" t="s">
        <v>31</v>
      </c>
      <c r="C6" s="44"/>
      <c r="D6" s="44"/>
      <c r="E6" s="44"/>
      <c r="F6" s="44"/>
      <c r="G6" s="47">
        <f>IF(Inputs!$D$11="Judge",$E27,IF(Inputs!$D$11="Uniform",$F27,$C27))</f>
        <v>5.7999999999999996E-3</v>
      </c>
      <c r="I6" s="74" t="s">
        <v>48</v>
      </c>
      <c r="J6" s="75"/>
      <c r="K6" s="76">
        <v>3.5000000000000003E-2</v>
      </c>
      <c r="M6" s="78">
        <v>2016</v>
      </c>
      <c r="N6" s="80">
        <v>1</v>
      </c>
      <c r="P6" s="46">
        <v>2020</v>
      </c>
      <c r="Q6" s="83">
        <v>43831</v>
      </c>
      <c r="R6" s="83"/>
      <c r="S6" s="84">
        <v>44196</v>
      </c>
      <c r="U6" s="97">
        <v>2015</v>
      </c>
      <c r="V6" s="98"/>
      <c r="W6" s="98"/>
      <c r="X6" s="80">
        <v>230.3</v>
      </c>
    </row>
    <row r="7" spans="2:24" x14ac:dyDescent="0.3">
      <c r="B7" s="46" t="s">
        <v>32</v>
      </c>
      <c r="C7" s="44"/>
      <c r="D7" s="44"/>
      <c r="E7" s="44"/>
      <c r="F7" s="44"/>
      <c r="G7" s="47">
        <f>IF(Inputs!$D$11="Judge",$E28,IF(Inputs!$D$11="Uniform",$F28,$C28))</f>
        <v>0.03</v>
      </c>
      <c r="M7" s="78">
        <v>2017</v>
      </c>
      <c r="N7" s="80">
        <v>1.004</v>
      </c>
      <c r="P7" s="46">
        <v>2021</v>
      </c>
      <c r="Q7" s="83">
        <v>44197</v>
      </c>
      <c r="S7" s="84">
        <v>44561</v>
      </c>
      <c r="U7" s="97">
        <v>2016</v>
      </c>
      <c r="V7" s="98"/>
      <c r="W7" s="98"/>
      <c r="X7" s="80">
        <v>233.3</v>
      </c>
    </row>
    <row r="8" spans="2:24" x14ac:dyDescent="0.3">
      <c r="B8" s="46" t="s">
        <v>33</v>
      </c>
      <c r="C8" s="44"/>
      <c r="D8" s="44"/>
      <c r="E8" s="44"/>
      <c r="F8" s="44"/>
      <c r="G8" s="47">
        <f>IF(Inputs!$D$11="Judge",$E29,IF(Inputs!$D$11="Uniform",$F29,$C29))</f>
        <v>3.5000000000000003E-2</v>
      </c>
      <c r="M8" s="78">
        <v>2018</v>
      </c>
      <c r="N8" s="81">
        <v>1.0069999999999999</v>
      </c>
      <c r="P8" s="46">
        <v>2022</v>
      </c>
      <c r="Q8" s="83">
        <v>44562</v>
      </c>
      <c r="R8" s="83">
        <v>44568</v>
      </c>
      <c r="S8" s="84">
        <v>44926</v>
      </c>
      <c r="U8" s="97">
        <v>2017</v>
      </c>
      <c r="V8" s="83">
        <v>42736</v>
      </c>
      <c r="W8" s="83">
        <v>42802</v>
      </c>
      <c r="X8" s="80">
        <v>233.3</v>
      </c>
    </row>
    <row r="9" spans="2:24" x14ac:dyDescent="0.3">
      <c r="B9" s="42" t="s">
        <v>34</v>
      </c>
      <c r="C9" s="43"/>
      <c r="D9" s="44"/>
      <c r="E9" s="44"/>
      <c r="F9" s="44"/>
      <c r="G9" s="48"/>
      <c r="M9" s="78">
        <v>2019</v>
      </c>
      <c r="N9" s="81">
        <v>1.0129999999999999</v>
      </c>
      <c r="P9" s="46">
        <v>2023</v>
      </c>
      <c r="Q9" s="83">
        <v>44927</v>
      </c>
      <c r="R9" s="83">
        <v>44932</v>
      </c>
      <c r="S9" s="84">
        <v>45291</v>
      </c>
      <c r="U9" s="97"/>
      <c r="V9" s="83"/>
      <c r="W9" s="83"/>
      <c r="X9" s="80"/>
    </row>
    <row r="10" spans="2:24" ht="15" thickBot="1" x14ac:dyDescent="0.35">
      <c r="B10" s="46" t="s">
        <v>35</v>
      </c>
      <c r="C10" s="44"/>
      <c r="D10" s="44"/>
      <c r="E10" s="44"/>
      <c r="F10" s="44"/>
      <c r="G10" s="49">
        <f>IFERROR(VLOOKUP(Inputs!$D$19+1,'Model Parameters'!$U$4:$X$20,4,1),$X$20)</f>
        <v>289.3</v>
      </c>
      <c r="M10" s="78">
        <v>2020</v>
      </c>
      <c r="N10" s="80">
        <v>1</v>
      </c>
      <c r="P10" s="89">
        <v>2024</v>
      </c>
      <c r="Q10" s="90">
        <v>45292</v>
      </c>
      <c r="R10" s="90">
        <v>45297</v>
      </c>
      <c r="S10" s="91">
        <v>45657</v>
      </c>
      <c r="U10" s="97">
        <v>2017</v>
      </c>
      <c r="V10" s="83">
        <v>42803</v>
      </c>
      <c r="W10" s="83">
        <v>43100</v>
      </c>
      <c r="X10" s="80">
        <v>238.3</v>
      </c>
    </row>
    <row r="11" spans="2:24" x14ac:dyDescent="0.3">
      <c r="B11" s="46"/>
      <c r="C11" s="44"/>
      <c r="D11" s="44"/>
      <c r="E11" s="44"/>
      <c r="F11" s="44"/>
      <c r="G11" s="50"/>
      <c r="M11" s="78">
        <v>2021</v>
      </c>
      <c r="N11" s="81">
        <v>1.0549999999999999</v>
      </c>
      <c r="U11" s="97">
        <v>2018</v>
      </c>
      <c r="V11" s="83">
        <v>43101</v>
      </c>
      <c r="W11" s="83">
        <v>43184</v>
      </c>
      <c r="X11" s="80">
        <v>238.3</v>
      </c>
    </row>
    <row r="12" spans="2:24" x14ac:dyDescent="0.3">
      <c r="B12" s="46" t="s">
        <v>58</v>
      </c>
      <c r="G12" s="108">
        <f>IF(Inputs!D11="Uniform",Inputs!D15,IF(Inputs!D11="Retained Firefighter",55,66))</f>
        <v>66</v>
      </c>
      <c r="H12" t="s">
        <v>89</v>
      </c>
      <c r="I12" s="175">
        <f>EDATE(Inputs!$D$7,12*'Model Parameters'!$G$12)</f>
        <v>24107</v>
      </c>
      <c r="M12" s="78">
        <v>2022</v>
      </c>
      <c r="N12" s="81">
        <v>1.0820000000000001</v>
      </c>
      <c r="U12" s="97">
        <v>2018</v>
      </c>
      <c r="V12" s="83">
        <v>43185</v>
      </c>
      <c r="W12" s="83">
        <v>43548</v>
      </c>
      <c r="X12" s="80">
        <v>243.3</v>
      </c>
    </row>
    <row r="13" spans="2:24" x14ac:dyDescent="0.3">
      <c r="B13" s="46"/>
      <c r="C13" s="44"/>
      <c r="D13" s="44"/>
      <c r="E13" s="44"/>
      <c r="F13" s="44"/>
      <c r="G13" s="50"/>
      <c r="M13" s="78">
        <v>2023</v>
      </c>
      <c r="N13" s="81">
        <v>1.046</v>
      </c>
      <c r="U13" s="97">
        <v>2019</v>
      </c>
      <c r="V13" s="83">
        <v>43549</v>
      </c>
      <c r="W13" s="83"/>
      <c r="X13" s="80">
        <v>248.3</v>
      </c>
    </row>
    <row r="14" spans="2:24" x14ac:dyDescent="0.3">
      <c r="B14" s="46" t="s">
        <v>36</v>
      </c>
      <c r="C14" s="44"/>
      <c r="D14" s="44"/>
      <c r="E14" s="44"/>
      <c r="F14" s="44"/>
      <c r="G14" s="51">
        <f>G10*52.18</f>
        <v>15095.674000000001</v>
      </c>
      <c r="M14" s="78">
        <v>2024</v>
      </c>
      <c r="N14" s="81">
        <v>1.014</v>
      </c>
      <c r="U14" s="97">
        <v>2020</v>
      </c>
      <c r="V14" s="83"/>
      <c r="W14" s="83"/>
      <c r="X14" s="80">
        <v>248.3</v>
      </c>
    </row>
    <row r="15" spans="2:24" ht="15" thickBot="1" x14ac:dyDescent="0.35">
      <c r="B15" s="46">
        <v>3.74</v>
      </c>
      <c r="C15" s="44" t="s">
        <v>37</v>
      </c>
      <c r="E15" s="44"/>
      <c r="F15" s="44"/>
      <c r="G15" s="52">
        <f>G14*B15</f>
        <v>56457.82076000001</v>
      </c>
      <c r="M15" s="82">
        <v>2025</v>
      </c>
      <c r="N15" s="218">
        <v>1.028</v>
      </c>
      <c r="U15" s="97">
        <v>2021</v>
      </c>
      <c r="V15" s="98"/>
      <c r="W15" s="83">
        <v>44567</v>
      </c>
      <c r="X15" s="80">
        <v>248.3</v>
      </c>
    </row>
    <row r="16" spans="2:24" ht="15" thickBot="1" x14ac:dyDescent="0.35">
      <c r="B16" s="53" t="s">
        <v>38</v>
      </c>
      <c r="C16" s="54"/>
      <c r="G16" s="55"/>
      <c r="U16" s="97">
        <v>2022</v>
      </c>
      <c r="V16" s="83">
        <v>44568</v>
      </c>
      <c r="W16" s="98"/>
      <c r="X16" s="80">
        <v>253.3</v>
      </c>
    </row>
    <row r="17" spans="2:24" ht="15" thickBot="1" x14ac:dyDescent="0.35">
      <c r="B17" s="42" t="s">
        <v>39</v>
      </c>
      <c r="C17" s="43"/>
      <c r="D17" s="44"/>
      <c r="E17" s="44"/>
      <c r="F17" s="44"/>
      <c r="G17" s="48"/>
      <c r="H17" s="44" t="s">
        <v>115</v>
      </c>
      <c r="M17" s="39" t="s">
        <v>103</v>
      </c>
      <c r="N17" s="77"/>
      <c r="U17" s="97">
        <v>2023</v>
      </c>
      <c r="V17" s="87">
        <v>44932</v>
      </c>
      <c r="W17" s="98"/>
      <c r="X17" s="80">
        <v>265.3</v>
      </c>
    </row>
    <row r="18" spans="2:24" x14ac:dyDescent="0.3">
      <c r="B18" s="56" t="s">
        <v>38</v>
      </c>
      <c r="C18" s="57"/>
      <c r="G18" s="58">
        <f>G19+G20</f>
        <v>0.03</v>
      </c>
      <c r="H18" s="44"/>
      <c r="M18" s="78">
        <v>2013</v>
      </c>
      <c r="N18" s="79">
        <f>PRODUCT($N4:$N$15)</f>
        <v>1.2759956116904383</v>
      </c>
      <c r="U18" s="97">
        <v>2024</v>
      </c>
      <c r="V18" s="87">
        <v>45296</v>
      </c>
      <c r="W18" s="98"/>
      <c r="X18" s="80">
        <v>277.3</v>
      </c>
    </row>
    <row r="19" spans="2:24" x14ac:dyDescent="0.3">
      <c r="B19" s="56" t="s">
        <v>40</v>
      </c>
      <c r="C19" s="57"/>
      <c r="G19" s="58">
        <v>0.01</v>
      </c>
      <c r="H19" s="63"/>
      <c r="M19" s="78">
        <v>2014</v>
      </c>
      <c r="N19" s="79">
        <f>PRODUCT($N5:$N$15)</f>
        <v>1.2759956116904383</v>
      </c>
      <c r="U19" s="97">
        <v>2025</v>
      </c>
      <c r="V19" s="87">
        <v>45662</v>
      </c>
      <c r="W19" s="98"/>
      <c r="X19" s="80">
        <v>289.3</v>
      </c>
    </row>
    <row r="20" spans="2:24" ht="15" thickBot="1" x14ac:dyDescent="0.35">
      <c r="B20" s="42" t="s">
        <v>41</v>
      </c>
      <c r="C20" s="43"/>
      <c r="G20" s="58">
        <v>0.02</v>
      </c>
      <c r="H20" s="44">
        <v>7.2</v>
      </c>
      <c r="M20" s="78">
        <v>2015</v>
      </c>
      <c r="N20" s="79">
        <f>PRODUCT($N6:$N$15)</f>
        <v>1.2747208907996388</v>
      </c>
      <c r="U20" s="99">
        <v>2026</v>
      </c>
      <c r="V20" s="100">
        <v>46023</v>
      </c>
      <c r="W20" s="101"/>
      <c r="X20" s="102">
        <v>299.3</v>
      </c>
    </row>
    <row r="21" spans="2:24" ht="15" thickBot="1" x14ac:dyDescent="0.35">
      <c r="B21" s="59" t="s">
        <v>42</v>
      </c>
      <c r="C21" s="60"/>
      <c r="D21" s="60"/>
      <c r="E21" s="60"/>
      <c r="F21" s="61"/>
      <c r="G21" s="62">
        <v>0.03</v>
      </c>
      <c r="H21" s="44">
        <v>6.1</v>
      </c>
      <c r="M21" s="78">
        <v>2016</v>
      </c>
      <c r="N21" s="79">
        <f>PRODUCT($N7:$N$15)</f>
        <v>1.2747208907996388</v>
      </c>
    </row>
    <row r="22" spans="2:24" x14ac:dyDescent="0.3">
      <c r="M22" s="78">
        <v>2017</v>
      </c>
      <c r="N22" s="79">
        <f>PRODUCT($N8:$N$15)</f>
        <v>1.2696423215135846</v>
      </c>
    </row>
    <row r="23" spans="2:24" ht="15" thickBot="1" x14ac:dyDescent="0.35">
      <c r="B23" s="57" t="s">
        <v>57</v>
      </c>
      <c r="H23" s="57"/>
      <c r="M23" s="78">
        <v>2018</v>
      </c>
      <c r="N23" s="79">
        <f>PRODUCT($N9:$N$15)</f>
        <v>1.2608166052766483</v>
      </c>
    </row>
    <row r="24" spans="2:24" ht="15" thickBot="1" x14ac:dyDescent="0.35">
      <c r="B24" s="103"/>
      <c r="C24" s="104" t="s">
        <v>4</v>
      </c>
      <c r="D24" s="104" t="s">
        <v>20</v>
      </c>
      <c r="E24" s="104" t="s">
        <v>21</v>
      </c>
      <c r="F24" s="77" t="s">
        <v>22</v>
      </c>
      <c r="M24" s="78">
        <v>2019</v>
      </c>
      <c r="N24" s="79">
        <f>PRODUCT($N10:$N$15)</f>
        <v>1.2446363329483201</v>
      </c>
    </row>
    <row r="25" spans="2:24" x14ac:dyDescent="0.3">
      <c r="B25" s="105" t="s">
        <v>29</v>
      </c>
      <c r="C25" s="106">
        <v>3.7499999999999999E-2</v>
      </c>
      <c r="D25" s="106">
        <v>3.7499999999999999E-2</v>
      </c>
      <c r="E25" s="106">
        <v>7.4999999999999997E-2</v>
      </c>
      <c r="F25" s="106">
        <v>4.2900000000000001E-2</v>
      </c>
      <c r="M25" s="78">
        <v>2020</v>
      </c>
      <c r="N25" s="79">
        <f>PRODUCT($N11:$N$15)</f>
        <v>1.2446363329483201</v>
      </c>
    </row>
    <row r="26" spans="2:24" x14ac:dyDescent="0.3">
      <c r="B26" s="46" t="s">
        <v>30</v>
      </c>
      <c r="C26" s="47">
        <v>1.2500000000000001E-2</v>
      </c>
      <c r="D26" s="47">
        <v>1.2500000000000001E-2</v>
      </c>
      <c r="E26" s="47">
        <v>2.5000000000000001E-2</v>
      </c>
      <c r="F26" s="47">
        <v>1.43E-2</v>
      </c>
      <c r="M26" s="78">
        <v>2021</v>
      </c>
      <c r="N26" s="79">
        <f>PRODUCT($N12:$N$15)</f>
        <v>1.1797500786240003</v>
      </c>
    </row>
    <row r="27" spans="2:24" x14ac:dyDescent="0.3">
      <c r="B27" s="46" t="s">
        <v>31</v>
      </c>
      <c r="C27" s="47">
        <v>5.7999999999999996E-3</v>
      </c>
      <c r="D27" s="47">
        <v>5.7999999999999996E-3</v>
      </c>
      <c r="E27" s="47">
        <v>2.5000000000000001E-2</v>
      </c>
      <c r="F27" s="47">
        <v>5.7999999999999996E-3</v>
      </c>
      <c r="M27" s="78">
        <v>2022</v>
      </c>
      <c r="N27" s="79">
        <f>PRODUCT($N13:$N$15)</f>
        <v>1.0903420320000001</v>
      </c>
    </row>
    <row r="28" spans="2:24" x14ac:dyDescent="0.3">
      <c r="B28" s="46" t="s">
        <v>32</v>
      </c>
      <c r="C28" s="47">
        <v>0.03</v>
      </c>
      <c r="D28" s="47">
        <v>0.03</v>
      </c>
      <c r="E28" s="47">
        <v>0.13</v>
      </c>
      <c r="F28" s="47">
        <v>3.3000000000000002E-2</v>
      </c>
      <c r="M28" s="78">
        <v>2023</v>
      </c>
      <c r="N28" s="79">
        <f>PRODUCT($N14:$N$15)</f>
        <v>1.042392</v>
      </c>
    </row>
    <row r="29" spans="2:24" ht="15" thickBot="1" x14ac:dyDescent="0.35">
      <c r="B29" s="89" t="s">
        <v>33</v>
      </c>
      <c r="C29" s="107">
        <v>3.5000000000000003E-2</v>
      </c>
      <c r="D29" s="107">
        <v>3.5000000000000003E-2</v>
      </c>
      <c r="E29" s="107">
        <v>0</v>
      </c>
      <c r="F29" s="107">
        <v>4.2000000000000003E-2</v>
      </c>
      <c r="M29" s="78">
        <v>2024</v>
      </c>
      <c r="N29" s="79">
        <f>PRODUCT($N15:$N$15)</f>
        <v>1.028</v>
      </c>
    </row>
    <row r="30" spans="2:24" ht="15" thickBot="1" x14ac:dyDescent="0.35">
      <c r="M30" s="82">
        <v>2025</v>
      </c>
      <c r="N30" s="199">
        <v>1</v>
      </c>
    </row>
  </sheetData>
  <sheetProtection selectLockedCells="1"/>
  <customSheetViews>
    <customSheetView guid="{4E701ADD-B653-400C-8A42-0AC861206E5A}" state="hidden">
      <selection activeCell="N26" sqref="N26"/>
      <pageMargins left="0.7" right="0.7" top="0.75" bottom="0.75" header="0.3" footer="0.3"/>
    </customSheetView>
    <customSheetView guid="{2A619B68-536F-426D-BFE9-EE04724DEF36}" state="hidden">
      <selection activeCell="N26" sqref="N26"/>
      <pageMargins left="0.7" right="0.7" top="0.75" bottom="0.75" header="0.3" footer="0.3"/>
    </customSheetView>
    <customSheetView guid="{1605CA2C-FF00-4896-997A-CEBF2520096B}" state="hidden">
      <selection activeCell="N26" sqref="N26"/>
      <pageMargins left="0.7" right="0.7" top="0.75" bottom="0.75" header="0.3" footer="0.3"/>
    </customSheetView>
    <customSheetView guid="{3A4D590C-9376-45C5-87AA-FF7CE0EBE4F9}" state="hidden">
      <selection activeCell="N26" sqref="N26"/>
      <pageMargins left="0.7" right="0.7" top="0.75" bottom="0.75" header="0.3" footer="0.3"/>
    </customSheetView>
    <customSheetView guid="{94C6E1F2-1311-446C-ACA2-771EF249BF12}">
      <selection activeCell="N26" sqref="N26"/>
      <pageMargins left="0.7" right="0.7" top="0.75" bottom="0.75" header="0.3" footer="0.3"/>
    </customSheetView>
  </customSheetView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3986A-64B1-463E-A9A0-19EEF2CB32F7}">
  <sheetPr codeName="Sheet7"/>
  <dimension ref="B1:S60"/>
  <sheetViews>
    <sheetView workbookViewId="0">
      <selection activeCell="O8" sqref="O8"/>
    </sheetView>
  </sheetViews>
  <sheetFormatPr defaultRowHeight="14.4" x14ac:dyDescent="0.3"/>
  <cols>
    <col min="2" max="2" width="19" bestFit="1" customWidth="1"/>
    <col min="3" max="3" width="5" bestFit="1" customWidth="1"/>
    <col min="4" max="4" width="15" bestFit="1" customWidth="1"/>
    <col min="5" max="5" width="11.33203125" bestFit="1" customWidth="1"/>
    <col min="6" max="6" width="11.109375" bestFit="1" customWidth="1"/>
    <col min="7" max="7" width="14.88671875" bestFit="1" customWidth="1"/>
    <col min="8" max="8" width="14.6640625" bestFit="1" customWidth="1"/>
    <col min="9" max="9" width="12" bestFit="1" customWidth="1"/>
    <col min="10" max="10" width="14.6640625" bestFit="1" customWidth="1"/>
    <col min="11" max="11" width="14.109375" bestFit="1" customWidth="1"/>
    <col min="13" max="13" width="11.109375" bestFit="1" customWidth="1"/>
    <col min="14" max="15" width="7.88671875" bestFit="1" customWidth="1"/>
    <col min="16" max="16" width="9.5546875" customWidth="1"/>
    <col min="17" max="17" width="30.44140625" bestFit="1" customWidth="1"/>
    <col min="19" max="19" width="30.5546875" bestFit="1" customWidth="1"/>
    <col min="20" max="20" width="8.6640625" bestFit="1" customWidth="1"/>
  </cols>
  <sheetData>
    <row r="1" spans="2:19" ht="15" thickBot="1" x14ac:dyDescent="0.35">
      <c r="Q1" s="188" t="s">
        <v>102</v>
      </c>
      <c r="R1" s="188"/>
    </row>
    <row r="2" spans="2:19" ht="15" thickBot="1" x14ac:dyDescent="0.35">
      <c r="B2" t="s">
        <v>90</v>
      </c>
      <c r="C2" s="148" t="s">
        <v>79</v>
      </c>
      <c r="D2" s="39"/>
      <c r="E2" s="237" t="s">
        <v>80</v>
      </c>
      <c r="F2" s="238"/>
      <c r="G2" s="239"/>
      <c r="H2" s="147" t="s">
        <v>82</v>
      </c>
      <c r="I2" s="149"/>
      <c r="J2" s="240" t="s">
        <v>83</v>
      </c>
      <c r="K2" s="241"/>
      <c r="M2" s="184" t="s">
        <v>81</v>
      </c>
      <c r="N2" s="185"/>
      <c r="O2" s="181" t="s">
        <v>45</v>
      </c>
      <c r="P2" s="187"/>
      <c r="Q2" s="39" t="s">
        <v>94</v>
      </c>
      <c r="R2" s="41"/>
    </row>
    <row r="3" spans="2:19" ht="21.6" x14ac:dyDescent="0.3">
      <c r="C3" s="46"/>
      <c r="D3" s="150" t="s">
        <v>84</v>
      </c>
      <c r="E3" s="150"/>
      <c r="F3" s="151" t="s">
        <v>85</v>
      </c>
      <c r="G3" s="152" t="s">
        <v>33</v>
      </c>
      <c r="H3" s="155" t="s">
        <v>86</v>
      </c>
      <c r="I3" s="156" t="s">
        <v>87</v>
      </c>
      <c r="J3" s="155" t="s">
        <v>86</v>
      </c>
      <c r="K3" s="157" t="s">
        <v>87</v>
      </c>
      <c r="M3" s="150" t="s">
        <v>32</v>
      </c>
      <c r="N3" s="153" t="s">
        <v>33</v>
      </c>
      <c r="O3" s="182"/>
      <c r="P3" s="187"/>
      <c r="Q3" s="189" t="s">
        <v>95</v>
      </c>
      <c r="R3" s="190">
        <f>'Model Parameters'!G12</f>
        <v>66</v>
      </c>
    </row>
    <row r="4" spans="2:19" ht="15" thickBot="1" x14ac:dyDescent="0.35">
      <c r="C4" s="46"/>
      <c r="D4" s="46"/>
      <c r="E4" s="158"/>
      <c r="F4" s="159"/>
      <c r="G4" s="160"/>
      <c r="H4" s="150"/>
      <c r="I4" s="151" t="s">
        <v>88</v>
      </c>
      <c r="J4" s="158"/>
      <c r="K4" s="160"/>
      <c r="M4" s="158"/>
      <c r="N4" s="161"/>
      <c r="O4" s="161"/>
      <c r="Q4" s="189" t="s">
        <v>93</v>
      </c>
      <c r="R4" s="198" t="str">
        <f>"1/1/"&amp;YEAR('Model Parameters'!$I$12)</f>
        <v>1/1/1965</v>
      </c>
    </row>
    <row r="5" spans="2:19" ht="15" thickBot="1" x14ac:dyDescent="0.35">
      <c r="C5" s="89"/>
      <c r="D5" s="89"/>
      <c r="E5" s="162"/>
      <c r="F5" s="163"/>
      <c r="G5" s="164"/>
      <c r="H5" s="165"/>
      <c r="I5" s="166"/>
      <c r="J5" s="165"/>
      <c r="K5" s="164"/>
      <c r="M5" s="172">
        <f>'Model Parameters'!G7</f>
        <v>0.03</v>
      </c>
      <c r="N5" s="172">
        <f>'Model Parameters'!G8</f>
        <v>3.5000000000000003E-2</v>
      </c>
      <c r="O5" s="161"/>
      <c r="Q5" s="89" t="s">
        <v>101</v>
      </c>
      <c r="R5" s="197">
        <f>EDATE(Inputs!$D$7,12*'Model Parameters'!$G$12)</f>
        <v>24107</v>
      </c>
    </row>
    <row r="6" spans="2:19" ht="15" thickBot="1" x14ac:dyDescent="0.35">
      <c r="C6" s="46"/>
      <c r="E6" s="158"/>
      <c r="F6" s="159"/>
      <c r="G6" s="160"/>
      <c r="H6" s="169"/>
      <c r="I6" s="170"/>
      <c r="J6" s="169"/>
      <c r="K6" s="171"/>
      <c r="M6" s="167"/>
      <c r="N6" s="168"/>
      <c r="O6" s="183"/>
      <c r="Q6" s="44"/>
      <c r="R6" s="101"/>
    </row>
    <row r="7" spans="2:19" ht="15" thickBot="1" x14ac:dyDescent="0.35">
      <c r="B7" t="s">
        <v>91</v>
      </c>
      <c r="C7" s="173">
        <f>Inputs!$D$19</f>
        <v>2024</v>
      </c>
      <c r="D7" s="176">
        <f>IF(Inputs!$D$28=0,1,Inputs!$D$28)</f>
        <v>1</v>
      </c>
      <c r="E7" s="178">
        <f>Inputs!$D$23</f>
        <v>0</v>
      </c>
      <c r="F7" s="179">
        <f>'Model Parameters'!$G$15</f>
        <v>56457.82076000001</v>
      </c>
      <c r="G7" s="216"/>
      <c r="H7" s="174"/>
      <c r="I7" s="179">
        <f>IFERROR(SUM(Inputs!$D$39:$D$40)*IFERROR(VLOOKUP($C7,'Model Parameters'!$M$18:$N$30,2,0),1)*(1+'Model Parameters'!$G$20)^(YEAR(Calculations!$R$5)-MAX($C7,$R$14)),"")</f>
        <v>0</v>
      </c>
      <c r="J7" s="174"/>
      <c r="K7" s="180">
        <f>IFERROR(SUM(Inputs!$D$33:$D$34)*IFERROR(VLOOKUP($C7,'Model Parameters'!$M$18:$N$30,2,0),1)*(1+'Model Parameters'!$G$20)^(YEAR(Calculations!$R$5)-MAX($C7,$R$14)),"")</f>
        <v>0</v>
      </c>
      <c r="M7" s="186">
        <f>$M$5*$E$7*$D$7</f>
        <v>0</v>
      </c>
      <c r="N7" s="186">
        <f>$N$5*MAX(E7-2/3.74*$F$7)*$D$7</f>
        <v>-1056.6971800000001</v>
      </c>
      <c r="O7" s="186">
        <f>IFERROR('Model Parameters'!$K$5*MAX(0,MIN('Model Parameters'!$J$5-'Model Parameters'!$J$4,Calculations!$E$7*$D$7-'Model Parameters'!$J$4))+'Model Parameters'!$K$6*MAX(0,Calculations!$E$7*$D$7-'Model Parameters'!$J$5),"")</f>
        <v>0</v>
      </c>
      <c r="Q7" s="64" t="s">
        <v>96</v>
      </c>
      <c r="R7" s="191"/>
    </row>
    <row r="8" spans="2:19" ht="15" thickBot="1" x14ac:dyDescent="0.35">
      <c r="Q8" s="192" t="s">
        <v>97</v>
      </c>
      <c r="R8" s="193">
        <f>SUM(K7:K60)</f>
        <v>0</v>
      </c>
    </row>
    <row r="9" spans="2:19" x14ac:dyDescent="0.3">
      <c r="B9" t="s">
        <v>92</v>
      </c>
      <c r="C9" s="205" t="str">
        <f>IF($C7+1&gt;YEAR('Model Parameters'!$I$12),"",$C7+1)</f>
        <v/>
      </c>
      <c r="D9" s="206" t="str">
        <f>IF($C9="","",IF($C9=YEAR('Model Parameters'!$I$12),$D$7*YEARFRAC('Model Parameters'!$I$12,Calculations!$R$4),$D$7))</f>
        <v/>
      </c>
      <c r="E9" s="207">
        <f>$E$7*(1+'Model Parameters'!$G$18)*(1+'Model Parameters'!$G$19)</f>
        <v>0</v>
      </c>
      <c r="F9" s="207">
        <f>$F$7</f>
        <v>56457.82076000001</v>
      </c>
      <c r="G9" s="207">
        <f>IFERROR(MAX($E9- 2/3.74*$F9,0),"")</f>
        <v>0</v>
      </c>
      <c r="H9" s="207" t="str">
        <f>IFERROR($D9*$E9*'Model Parameters'!$G$4,"")</f>
        <v/>
      </c>
      <c r="I9" s="207" t="str">
        <f>IFERROR(H9*IFERROR(VLOOKUP($C9,'Model Parameters'!$M$18:$N$30,2,0),1)*(1+'Model Parameters'!$G$20)^(YEAR(Calculations!$R$5)-MAX($C9,$R$14)),"")</f>
        <v/>
      </c>
      <c r="J9" s="207" t="str">
        <f>IFERROR($D9*('Model Parameters'!$G$6*MIN($E9,$F9)+'Model Parameters'!$G$5*MAX(0,$E9-$F9)),"")</f>
        <v/>
      </c>
      <c r="K9" s="207" t="str">
        <f>IFERROR(J9*IFERROR(VLOOKUP($C9,'Model Parameters'!$M$18:$N$30,2,0),1)*(1+'Model Parameters'!$G$20)^(YEAR(Calculations!$R$5)-MAX($C9,$R$14)),"")</f>
        <v/>
      </c>
      <c r="M9" s="177"/>
      <c r="Q9" s="85" t="s">
        <v>98</v>
      </c>
      <c r="R9" s="194">
        <f>SUM(I7:I60)</f>
        <v>0</v>
      </c>
    </row>
    <row r="10" spans="2:19" x14ac:dyDescent="0.3">
      <c r="C10" s="55" t="str">
        <f>IFERROR(IF($C9+1&gt;YEAR('Model Parameters'!$I$12),"",$C9+1),"")</f>
        <v/>
      </c>
      <c r="D10" s="208" t="str">
        <f>IF($C10="","",IF($C10=YEAR('Model Parameters'!$I$12),$D$7*YEARFRAC('Model Parameters'!$I$12,Calculations!$R$4),$D$7))</f>
        <v/>
      </c>
      <c r="E10" s="209" t="str">
        <f>IF($C10="","",$E9*(1+'Model Parameters'!$G$18)*(1+'Model Parameters'!$G$19))</f>
        <v/>
      </c>
      <c r="F10" s="209" t="str">
        <f>IF($C10="","",IFERROR(VLOOKUP(C10,'Model Parameters'!$U$4:$X$20,4,0)*52.18*3.74,$F9*(1+'Model Parameters'!$G$18)))</f>
        <v/>
      </c>
      <c r="G10" s="209" t="str">
        <f>IFERROR(MAX($E10- 2/3.74*$F10,0),"")</f>
        <v/>
      </c>
      <c r="H10" s="209" t="str">
        <f>IFERROR($D10*$E10*'Model Parameters'!$G$4,"")</f>
        <v/>
      </c>
      <c r="I10" s="209" t="str">
        <f>IFERROR(H10*IFERROR(VLOOKUP($C10,'Model Parameters'!$M$18:$N$30,2,0),1)*(1+'Model Parameters'!$G$20)^(YEAR(Calculations!$R$5)-MAX($C10,$R$14)),"")</f>
        <v/>
      </c>
      <c r="J10" s="209" t="str">
        <f>IFERROR($D10*('Model Parameters'!$G$6*MIN($E10,$F10)+'Model Parameters'!$G$5*MAX(0,$E10-$F10)),"")</f>
        <v/>
      </c>
      <c r="K10" s="209" t="str">
        <f>IFERROR(J10*IFERROR(VLOOKUP($C10,'Model Parameters'!$M$18:$N$30,2,0),1)*(1+'Model Parameters'!$G$20)^(YEAR(Calculations!$R$5)-MAX($C10,$R$14)),"")</f>
        <v/>
      </c>
      <c r="M10" s="177"/>
      <c r="Q10" s="154"/>
      <c r="R10" s="55"/>
    </row>
    <row r="11" spans="2:19" x14ac:dyDescent="0.3">
      <c r="C11" s="55" t="str">
        <f>IFERROR(IF($C10+1&gt;YEAR('Model Parameters'!$I$12),"",$C10+1),"")</f>
        <v/>
      </c>
      <c r="D11" s="208" t="str">
        <f>IF($C11="","",IF($C11=YEAR('Model Parameters'!$I$12),$D$7*YEARFRAC('Model Parameters'!$I$12,Calculations!$R$4),$D$7))</f>
        <v/>
      </c>
      <c r="E11" s="209" t="str">
        <f>IF($C11="","",$E10*(1+'Model Parameters'!$G$18)*(1+'Model Parameters'!$G$19))</f>
        <v/>
      </c>
      <c r="F11" s="209" t="str">
        <f>IF($C11="","",IFERROR(VLOOKUP(C11,'Model Parameters'!$U$4:$X$20,4,0)*52.18*3.74,$F10*(1+'Model Parameters'!$G$18)))</f>
        <v/>
      </c>
      <c r="G11" s="209" t="str">
        <f t="shared" ref="G11:G60" si="0">IFERROR(MAX($E11- 2/3.74*$F11,0),"")</f>
        <v/>
      </c>
      <c r="H11" s="209" t="str">
        <f>IFERROR($D11*$E11*'Model Parameters'!$G$4,"")</f>
        <v/>
      </c>
      <c r="I11" s="209" t="str">
        <f>IFERROR(H11*IFERROR(VLOOKUP($C11,'Model Parameters'!$M$18:$N$30,2,0),1)*(1+'Model Parameters'!$G$20)^(YEAR(Calculations!$R$5)-MAX($C11,$R$14)),"")</f>
        <v/>
      </c>
      <c r="J11" s="209" t="str">
        <f>IFERROR($D11*('Model Parameters'!$G$6*MIN($E11,$F11)+'Model Parameters'!$G$5*MAX(0,$E11-$F11)),"")</f>
        <v/>
      </c>
      <c r="K11" s="209" t="str">
        <f>IFERROR(J11*IFERROR(VLOOKUP($C11,'Model Parameters'!$M$18:$N$30,2,0),1)*(1+'Model Parameters'!$G$20)^(YEAR(Calculations!$R$5)-MAX($C11,$R$14)),"")</f>
        <v/>
      </c>
      <c r="M11" s="177"/>
      <c r="Q11" s="46" t="s">
        <v>99</v>
      </c>
      <c r="R11" s="195" t="e">
        <f>IF(Inputs!$D$11="Judge",MIN($R$8*(1+'Model Parameters'!$G$21)^-(YEAR(Calculations!$R$5)-Calculations!$C$9),$E$7*0.5),$R$8*(1+'Model Parameters'!$G$21)^-(YEAR(Calculations!$R$5)-Calculations!$C$9))</f>
        <v>#VALUE!</v>
      </c>
    </row>
    <row r="12" spans="2:19" ht="15" thickBot="1" x14ac:dyDescent="0.35">
      <c r="C12" s="55" t="str">
        <f>IFERROR(IF($C11+1&gt;YEAR('Model Parameters'!$I$12),"",$C11+1),"")</f>
        <v/>
      </c>
      <c r="D12" s="208" t="str">
        <f>IF($C12="","",IF($C12=YEAR('Model Parameters'!$I$12),$D$7*YEARFRAC('Model Parameters'!$I$12,Calculations!$R$4),$D$7))</f>
        <v/>
      </c>
      <c r="E12" s="209" t="str">
        <f>IF($C12="","",$E11*(1+'Model Parameters'!$G$18)*(1+'Model Parameters'!$G$19))</f>
        <v/>
      </c>
      <c r="F12" s="209" t="str">
        <f>IF($C12="","",IFERROR(VLOOKUP(C12,'Model Parameters'!$U$4:$X$20,4,0)*52.18*3.74,$F11*(1+'Model Parameters'!$G$18)))</f>
        <v/>
      </c>
      <c r="G12" s="209" t="str">
        <f t="shared" si="0"/>
        <v/>
      </c>
      <c r="H12" s="209" t="str">
        <f>IFERROR($D12*$E12*'Model Parameters'!$G$4,"")</f>
        <v/>
      </c>
      <c r="I12" s="209" t="str">
        <f>IFERROR(H12*IFERROR(VLOOKUP($C12,'Model Parameters'!$M$18:$N$30,2,0),1)*(1+'Model Parameters'!$G$20)^(YEAR(Calculations!$R$5)-MAX($C12,$R$14)),"")</f>
        <v/>
      </c>
      <c r="J12" s="209" t="str">
        <f>IFERROR($D12*('Model Parameters'!$G$6*MIN($E12,$F12)+'Model Parameters'!$G$5*MAX(0,$E12-$F12)),"")</f>
        <v/>
      </c>
      <c r="K12" s="209" t="str">
        <f>IFERROR(J12*IFERROR(VLOOKUP($C12,'Model Parameters'!$M$18:$N$30,2,0),1)*(1+'Model Parameters'!$G$20)^(YEAR(Calculations!$R$5)-MAX($C12,$R$14)),"")</f>
        <v/>
      </c>
      <c r="M12" s="177"/>
      <c r="Q12" s="89" t="s">
        <v>100</v>
      </c>
      <c r="R12" s="196" t="e">
        <f>IF(Inputs!$D$11="Judge",MIN($R$9*(1+'Model Parameters'!$G$21)^-(YEAR(Calculations!$R$5)-Calculations!$C$9),$E$7*1.5),$R$9*(1+'Model Parameters'!$G$21)^-(YEAR(Calculations!$R$5)-Calculations!$C$9))</f>
        <v>#VALUE!</v>
      </c>
    </row>
    <row r="13" spans="2:19" ht="15" thickBot="1" x14ac:dyDescent="0.35">
      <c r="C13" s="55" t="str">
        <f>IFERROR(IF($C12+1&gt;YEAR('Model Parameters'!$I$12),"",$C12+1),"")</f>
        <v/>
      </c>
      <c r="D13" s="208" t="str">
        <f>IF($C13="","",IF($C13=YEAR('Model Parameters'!$I$12),$D$7*YEARFRAC('Model Parameters'!$I$12,Calculations!$R$4),$D$7))</f>
        <v/>
      </c>
      <c r="E13" s="209" t="str">
        <f>IF($C13="","",$E12*(1+'Model Parameters'!$G$18)*(1+'Model Parameters'!$G$19))</f>
        <v/>
      </c>
      <c r="F13" s="209" t="str">
        <f>IF($C13="","",IFERROR(VLOOKUP(C13,'Model Parameters'!$U$4:$X$20,4,0)*52.18*3.74,$F12*(1+'Model Parameters'!$G$18)))</f>
        <v/>
      </c>
      <c r="G13" s="209" t="str">
        <f t="shared" si="0"/>
        <v/>
      </c>
      <c r="H13" s="209" t="str">
        <f>IFERROR($D13*$E13*'Model Parameters'!$G$4,"")</f>
        <v/>
      </c>
      <c r="I13" s="209" t="str">
        <f>IFERROR(H13*IFERROR(VLOOKUP($C13,'Model Parameters'!$M$18:$N$30,2,0),1)*(1+'Model Parameters'!$G$20)^(YEAR(Calculations!$R$5)-MAX($C13,$R$14)),"")</f>
        <v/>
      </c>
      <c r="J13" s="209" t="str">
        <f>IFERROR($D13*('Model Parameters'!$G$6*MIN($E13,$F13)+'Model Parameters'!$G$5*MAX(0,$E13-$F13)),"")</f>
        <v/>
      </c>
      <c r="K13" s="209" t="str">
        <f>IFERROR(J13*IFERROR(VLOOKUP($C13,'Model Parameters'!$M$18:$N$30,2,0),1)*(1+'Model Parameters'!$G$20)^(YEAR(Calculations!$R$5)-MAX($C13,$R$14)),"")</f>
        <v/>
      </c>
      <c r="M13" s="177"/>
    </row>
    <row r="14" spans="2:19" ht="15" thickBot="1" x14ac:dyDescent="0.35">
      <c r="C14" s="55" t="str">
        <f>IFERROR(IF($C13+1&gt;YEAR('Model Parameters'!$I$12),"",$C13+1),"")</f>
        <v/>
      </c>
      <c r="D14" s="208" t="str">
        <f>IF($C14="","",IF($C14=YEAR('Model Parameters'!$I$12),$D$7*YEARFRAC('Model Parameters'!$I$12,Calculations!$R$4),$D$7))</f>
        <v/>
      </c>
      <c r="E14" s="209" t="str">
        <f>IF($C14="","",$E13*(1+'Model Parameters'!$G$18)*(1+'Model Parameters'!$G$19))</f>
        <v/>
      </c>
      <c r="F14" s="209" t="str">
        <f>IF($C14="","",IFERROR(VLOOKUP(C14,'Model Parameters'!$U$4:$X$20,4,0)*52.18*3.74,$F13*(1+'Model Parameters'!$G$18)))</f>
        <v/>
      </c>
      <c r="G14" s="209" t="str">
        <f t="shared" si="0"/>
        <v/>
      </c>
      <c r="H14" s="209" t="str">
        <f>IFERROR($D14*$E14*'Model Parameters'!$G$4,"")</f>
        <v/>
      </c>
      <c r="I14" s="209" t="str">
        <f>IFERROR(H14*IFERROR(VLOOKUP($C14,'Model Parameters'!$M$18:$N$30,2,0),1)*(1+'Model Parameters'!$G$20)^(YEAR(Calculations!$R$5)-MAX($C14,$R$14)),"")</f>
        <v/>
      </c>
      <c r="J14" s="209" t="str">
        <f>IFERROR($D14*('Model Parameters'!$G$6*MIN($E14,$F14)+'Model Parameters'!$G$5*MAX(0,$E14-$F14)),"")</f>
        <v/>
      </c>
      <c r="K14" s="209" t="str">
        <f>IFERROR(J14*IFERROR(VLOOKUP($C14,'Model Parameters'!$M$18:$N$30,2,0),1)*(1+'Model Parameters'!$G$20)^(YEAR(Calculations!$R$5)-MAX($C14,$R$14)),"")</f>
        <v/>
      </c>
      <c r="M14" s="177"/>
      <c r="Q14" s="214" t="s">
        <v>113</v>
      </c>
      <c r="R14" s="217">
        <f>'Model Parameters'!M15</f>
        <v>2025</v>
      </c>
      <c r="S14" s="215" t="str">
        <f ca="1">IF(YEAR(TODAY())-1&lt;&gt;R14,"CPI Table Needs Update","OK")</f>
        <v>OK</v>
      </c>
    </row>
    <row r="15" spans="2:19" x14ac:dyDescent="0.3">
      <c r="C15" s="55" t="str">
        <f>IFERROR(IF($C14+1&gt;YEAR('Model Parameters'!$I$12),"",$C14+1),"")</f>
        <v/>
      </c>
      <c r="D15" s="208" t="str">
        <f>IF($C15="","",IF($C15=YEAR('Model Parameters'!$I$12),$D$7*YEARFRAC('Model Parameters'!$I$12,Calculations!$R$4),$D$7))</f>
        <v/>
      </c>
      <c r="E15" s="209" t="str">
        <f>IF($C15="","",$E14*(1+'Model Parameters'!$G$18)*(1+'Model Parameters'!$G$19))</f>
        <v/>
      </c>
      <c r="F15" s="209" t="str">
        <f>IF($C15="","",IFERROR(VLOOKUP(C15,'Model Parameters'!$U$4:$X$20,4,0)*52.18*3.74,$F14*(1+'Model Parameters'!$G$18)))</f>
        <v/>
      </c>
      <c r="G15" s="209" t="str">
        <f t="shared" si="0"/>
        <v/>
      </c>
      <c r="H15" s="209" t="str">
        <f>IFERROR($D15*$E15*'Model Parameters'!$G$4,"")</f>
        <v/>
      </c>
      <c r="I15" s="209" t="str">
        <f>IFERROR(H15*IFERROR(VLOOKUP($C15,'Model Parameters'!$M$18:$N$30,2,0),1)*(1+'Model Parameters'!$G$20)^(YEAR(Calculations!$R$5)-MAX($C15,$R$14)),"")</f>
        <v/>
      </c>
      <c r="J15" s="209" t="str">
        <f>IFERROR($D15*('Model Parameters'!$G$6*MIN($E15,$F15)+'Model Parameters'!$G$5*MAX(0,$E15-$F15)),"")</f>
        <v/>
      </c>
      <c r="K15" s="209" t="str">
        <f>IFERROR(J15*IFERROR(VLOOKUP($C15,'Model Parameters'!$M$18:$N$30,2,0),1)*(1+'Model Parameters'!$G$20)^(YEAR(Calculations!$R$5)-MAX($C15,$R$14)),"")</f>
        <v/>
      </c>
      <c r="M15" s="177"/>
    </row>
    <row r="16" spans="2:19" x14ac:dyDescent="0.3">
      <c r="C16" s="55" t="str">
        <f>IFERROR(IF($C15+1&gt;YEAR('Model Parameters'!$I$12),"",$C15+1),"")</f>
        <v/>
      </c>
      <c r="D16" s="208" t="str">
        <f>IF($C16="","",IF($C16=YEAR('Model Parameters'!$I$12),$D$7*YEARFRAC('Model Parameters'!$I$12,Calculations!$R$4),$D$7))</f>
        <v/>
      </c>
      <c r="E16" s="209" t="str">
        <f>IF($C16="","",$E15*(1+'Model Parameters'!$G$18)*(1+'Model Parameters'!$G$19))</f>
        <v/>
      </c>
      <c r="F16" s="209" t="str">
        <f>IF($C16="","",IFERROR(VLOOKUP(C16,'Model Parameters'!$U$4:$X$20,4,0)*52.18*3.74,$F15*(1+'Model Parameters'!$G$18)))</f>
        <v/>
      </c>
      <c r="G16" s="209" t="str">
        <f t="shared" si="0"/>
        <v/>
      </c>
      <c r="H16" s="209" t="str">
        <f>IFERROR($D16*$E16*'Model Parameters'!$G$4,"")</f>
        <v/>
      </c>
      <c r="I16" s="209" t="str">
        <f>IFERROR(H16*IFERROR(VLOOKUP($C16,'Model Parameters'!$M$18:$N$30,2,0),1)*(1+'Model Parameters'!$G$20)^(YEAR(Calculations!$R$5)-MAX($C16,$R$14)),"")</f>
        <v/>
      </c>
      <c r="J16" s="209" t="str">
        <f>IFERROR($D16*('Model Parameters'!$G$6*MIN($E16,$F16)+'Model Parameters'!$G$5*MAX(0,$E16-$F16)),"")</f>
        <v/>
      </c>
      <c r="K16" s="209" t="str">
        <f>IFERROR(J16*IFERROR(VLOOKUP($C16,'Model Parameters'!$M$18:$N$30,2,0),1)*(1+'Model Parameters'!$G$20)^(YEAR(Calculations!$R$5)-MAX($C16,$R$14)),"")</f>
        <v/>
      </c>
      <c r="M16" s="177"/>
    </row>
    <row r="17" spans="3:13" x14ac:dyDescent="0.3">
      <c r="C17" s="55" t="str">
        <f>IFERROR(IF($C16+1&gt;YEAR('Model Parameters'!$I$12),"",$C16+1),"")</f>
        <v/>
      </c>
      <c r="D17" s="208" t="str">
        <f>IF($C17="","",IF($C17=YEAR('Model Parameters'!$I$12),$D$7*YEARFRAC('Model Parameters'!$I$12,Calculations!$R$4),$D$7))</f>
        <v/>
      </c>
      <c r="E17" s="209" t="str">
        <f>IF($C17="","",$E16*(1+'Model Parameters'!$G$18)*(1+'Model Parameters'!$G$19))</f>
        <v/>
      </c>
      <c r="F17" s="209" t="str">
        <f>IF($C17="","",IFERROR(VLOOKUP(C17,'Model Parameters'!$U$4:$X$20,4,0)*52.18*3.74,$F16*(1+'Model Parameters'!$G$18)))</f>
        <v/>
      </c>
      <c r="G17" s="209" t="str">
        <f t="shared" si="0"/>
        <v/>
      </c>
      <c r="H17" s="209" t="str">
        <f>IFERROR($D17*$E17*'Model Parameters'!$G$4,"")</f>
        <v/>
      </c>
      <c r="I17" s="209" t="str">
        <f>IFERROR(H17*IFERROR(VLOOKUP($C17,'Model Parameters'!$M$18:$N$30,2,0),1)*(1+'Model Parameters'!$G$20)^(YEAR(Calculations!$R$5)-MAX($C17,$R$14)),"")</f>
        <v/>
      </c>
      <c r="J17" s="209" t="str">
        <f>IFERROR($D17*('Model Parameters'!$G$6*MIN($E17,$F17)+'Model Parameters'!$G$5*MAX(0,$E17-$F17)),"")</f>
        <v/>
      </c>
      <c r="K17" s="209" t="str">
        <f>IFERROR(J17*IFERROR(VLOOKUP($C17,'Model Parameters'!$M$18:$N$30,2,0),1)*(1+'Model Parameters'!$G$20)^(YEAR(Calculations!$R$5)-MAX($C17,$R$14)),"")</f>
        <v/>
      </c>
      <c r="M17" s="177"/>
    </row>
    <row r="18" spans="3:13" x14ac:dyDescent="0.3">
      <c r="C18" s="55" t="str">
        <f>IFERROR(IF($C17+1&gt;YEAR('Model Parameters'!$I$12),"",$C17+1),"")</f>
        <v/>
      </c>
      <c r="D18" s="208" t="str">
        <f>IF($C18="","",IF($C18=YEAR('Model Parameters'!$I$12),$D$7*YEARFRAC('Model Parameters'!$I$12,Calculations!$R$4),$D$7))</f>
        <v/>
      </c>
      <c r="E18" s="209" t="str">
        <f>IF($C18="","",$E17*(1+'Model Parameters'!$G$18)*(1+'Model Parameters'!$G$19))</f>
        <v/>
      </c>
      <c r="F18" s="209" t="str">
        <f>IF($C18="","",IFERROR(VLOOKUP(C18,'Model Parameters'!$U$4:$X$20,4,0)*52.18*3.74,$F17*(1+'Model Parameters'!$G$18)))</f>
        <v/>
      </c>
      <c r="G18" s="209" t="str">
        <f t="shared" si="0"/>
        <v/>
      </c>
      <c r="H18" s="209" t="str">
        <f>IFERROR($D18*$E18*'Model Parameters'!$G$4,"")</f>
        <v/>
      </c>
      <c r="I18" s="209" t="str">
        <f>IFERROR(H18*IFERROR(VLOOKUP($C18,'Model Parameters'!$M$18:$N$30,2,0),1)*(1+'Model Parameters'!$G$20)^(YEAR(Calculations!$R$5)-MAX($C18,$R$14)),"")</f>
        <v/>
      </c>
      <c r="J18" s="209" t="str">
        <f>IFERROR($D18*('Model Parameters'!$G$6*MIN($E18,$F18)+'Model Parameters'!$G$5*MAX(0,$E18-$F18)),"")</f>
        <v/>
      </c>
      <c r="K18" s="209" t="str">
        <f>IFERROR(J18*IFERROR(VLOOKUP($C18,'Model Parameters'!$M$18:$N$30,2,0),1)*(1+'Model Parameters'!$G$20)^(YEAR(Calculations!$R$5)-MAX($C18,$R$14)),"")</f>
        <v/>
      </c>
      <c r="M18" s="177"/>
    </row>
    <row r="19" spans="3:13" x14ac:dyDescent="0.3">
      <c r="C19" s="55" t="str">
        <f>IFERROR(IF($C18+1&gt;YEAR('Model Parameters'!$I$12),"",$C18+1),"")</f>
        <v/>
      </c>
      <c r="D19" s="208" t="str">
        <f>IF($C19="","",IF($C19=YEAR('Model Parameters'!$I$12),$D$7*YEARFRAC('Model Parameters'!$I$12,Calculations!$R$4),$D$7))</f>
        <v/>
      </c>
      <c r="E19" s="209" t="str">
        <f>IF($C19="","",$E18*(1+'Model Parameters'!$G$18)*(1+'Model Parameters'!$G$19))</f>
        <v/>
      </c>
      <c r="F19" s="209" t="str">
        <f>IF($C19="","",IFERROR(VLOOKUP(C19,'Model Parameters'!$U$4:$X$20,4,0)*52.18*3.74,$F18*(1+'Model Parameters'!$G$18)))</f>
        <v/>
      </c>
      <c r="G19" s="209" t="str">
        <f t="shared" si="0"/>
        <v/>
      </c>
      <c r="H19" s="209" t="str">
        <f>IFERROR($D19*$E19*'Model Parameters'!$G$4,"")</f>
        <v/>
      </c>
      <c r="I19" s="209" t="str">
        <f>IFERROR(H19*IFERROR(VLOOKUP($C19,'Model Parameters'!$M$18:$N$30,2,0),1)*(1+'Model Parameters'!$G$20)^(YEAR(Calculations!$R$5)-MAX($C19,$R$14)),"")</f>
        <v/>
      </c>
      <c r="J19" s="209" t="str">
        <f>IFERROR($D19*('Model Parameters'!$G$6*MIN($E19,$F19)+'Model Parameters'!$G$5*MAX(0,$E19-$F19)),"")</f>
        <v/>
      </c>
      <c r="K19" s="209" t="str">
        <f>IFERROR(J19*IFERROR(VLOOKUP($C19,'Model Parameters'!$M$18:$N$30,2,0),1)*(1+'Model Parameters'!$G$20)^(YEAR(Calculations!$R$5)-MAX($C19,$R$14)),"")</f>
        <v/>
      </c>
      <c r="M19" s="177"/>
    </row>
    <row r="20" spans="3:13" x14ac:dyDescent="0.3">
      <c r="C20" s="55" t="str">
        <f>IFERROR(IF($C19+1&gt;YEAR('Model Parameters'!$I$12),"",$C19+1),"")</f>
        <v/>
      </c>
      <c r="D20" s="208" t="str">
        <f>IF($C20="","",IF($C20=YEAR('Model Parameters'!$I$12),$D$7*YEARFRAC('Model Parameters'!$I$12,Calculations!$R$4),$D$7))</f>
        <v/>
      </c>
      <c r="E20" s="209" t="str">
        <f>IF($C20="","",$E19*(1+'Model Parameters'!$G$18)*(1+'Model Parameters'!$G$19))</f>
        <v/>
      </c>
      <c r="F20" s="209" t="str">
        <f>IF($C20="","",IFERROR(VLOOKUP(C20,'Model Parameters'!$U$4:$X$20,4,0)*52.18*3.74,$F19*(1+'Model Parameters'!$G$18)))</f>
        <v/>
      </c>
      <c r="G20" s="209" t="str">
        <f t="shared" si="0"/>
        <v/>
      </c>
      <c r="H20" s="209" t="str">
        <f>IFERROR($D20*$E20*'Model Parameters'!$G$4,"")</f>
        <v/>
      </c>
      <c r="I20" s="209" t="str">
        <f>IFERROR(H20*IFERROR(VLOOKUP($C20,'Model Parameters'!$M$18:$N$30,2,0),1)*(1+'Model Parameters'!$G$20)^(YEAR(Calculations!$R$5)-MAX($C20,$R$14)),"")</f>
        <v/>
      </c>
      <c r="J20" s="209" t="str">
        <f>IFERROR($D20*('Model Parameters'!$G$6*MIN($E20,$F20)+'Model Parameters'!$G$5*MAX(0,$E20-$F20)),"")</f>
        <v/>
      </c>
      <c r="K20" s="209" t="str">
        <f>IFERROR(J20*IFERROR(VLOOKUP($C20,'Model Parameters'!$M$18:$N$30,2,0),1)*(1+'Model Parameters'!$G$20)^(YEAR(Calculations!$R$5)-MAX($C20,$R$14)),"")</f>
        <v/>
      </c>
    </row>
    <row r="21" spans="3:13" x14ac:dyDescent="0.3">
      <c r="C21" s="55" t="str">
        <f>IFERROR(IF($C20+1&gt;YEAR('Model Parameters'!$I$12),"",$C20+1),"")</f>
        <v/>
      </c>
      <c r="D21" s="208" t="str">
        <f>IF($C21="","",IF($C21=YEAR('Model Parameters'!$I$12),$D$7*YEARFRAC('Model Parameters'!$I$12,Calculations!$R$4),$D$7))</f>
        <v/>
      </c>
      <c r="E21" s="209" t="str">
        <f>IF($C21="","",$E20*(1+'Model Parameters'!$G$18)*(1+'Model Parameters'!$G$19))</f>
        <v/>
      </c>
      <c r="F21" s="209" t="str">
        <f>IF($C21="","",IFERROR(VLOOKUP(C21,'Model Parameters'!$U$4:$X$20,4,0)*52.18*3.74,$F20*(1+'Model Parameters'!$G$18)))</f>
        <v/>
      </c>
      <c r="G21" s="209" t="str">
        <f t="shared" si="0"/>
        <v/>
      </c>
      <c r="H21" s="209" t="str">
        <f>IFERROR($D21*$E21*'Model Parameters'!$G$4,"")</f>
        <v/>
      </c>
      <c r="I21" s="209" t="str">
        <f>IFERROR(H21*IFERROR(VLOOKUP($C21,'Model Parameters'!$M$18:$N$30,2,0),1)*(1+'Model Parameters'!$G$20)^(YEAR(Calculations!$R$5)-MAX($C21,$R$14)),"")</f>
        <v/>
      </c>
      <c r="J21" s="209" t="str">
        <f>IFERROR($D21*('Model Parameters'!$G$6*MIN($E21,$F21)+'Model Parameters'!$G$5*MAX(0,$E21-$F21)),"")</f>
        <v/>
      </c>
      <c r="K21" s="209" t="str">
        <f>IFERROR(J21*IFERROR(VLOOKUP($C21,'Model Parameters'!$M$18:$N$30,2,0),1)*(1+'Model Parameters'!$G$20)^(YEAR(Calculations!$R$5)-MAX($C21,$R$14)),"")</f>
        <v/>
      </c>
    </row>
    <row r="22" spans="3:13" x14ac:dyDescent="0.3">
      <c r="C22" s="55" t="str">
        <f>IFERROR(IF($C21+1&gt;YEAR('Model Parameters'!$I$12),"",$C21+1),"")</f>
        <v/>
      </c>
      <c r="D22" s="208" t="str">
        <f>IF($C22="","",IF($C22=YEAR('Model Parameters'!$I$12),$D$7*YEARFRAC('Model Parameters'!$I$12,Calculations!$R$4),$D$7))</f>
        <v/>
      </c>
      <c r="E22" s="209" t="str">
        <f>IF($C22="","",$E21*(1+'Model Parameters'!$G$18)*(1+'Model Parameters'!$G$19))</f>
        <v/>
      </c>
      <c r="F22" s="209" t="str">
        <f>IF($C22="","",IFERROR(VLOOKUP(C22,'Model Parameters'!$U$4:$X$20,4,0)*52.18*3.74,$F21*(1+'Model Parameters'!$G$18)))</f>
        <v/>
      </c>
      <c r="G22" s="209" t="str">
        <f t="shared" si="0"/>
        <v/>
      </c>
      <c r="H22" s="209" t="str">
        <f>IFERROR($D22*$E22*'Model Parameters'!$G$4,"")</f>
        <v/>
      </c>
      <c r="I22" s="209" t="str">
        <f>IFERROR(H22*IFERROR(VLOOKUP($C22,'Model Parameters'!$M$18:$N$30,2,0),1)*(1+'Model Parameters'!$G$20)^(YEAR(Calculations!$R$5)-MAX($C22,$R$14)),"")</f>
        <v/>
      </c>
      <c r="J22" s="209" t="str">
        <f>IFERROR($D22*('Model Parameters'!$G$6*MIN($E22,$F22)+'Model Parameters'!$G$5*MAX(0,$E22-$F22)),"")</f>
        <v/>
      </c>
      <c r="K22" s="209" t="str">
        <f>IFERROR(J22*IFERROR(VLOOKUP($C22,'Model Parameters'!$M$18:$N$30,2,0),1)*(1+'Model Parameters'!$G$20)^(YEAR(Calculations!$R$5)-MAX($C22,$R$14)),"")</f>
        <v/>
      </c>
    </row>
    <row r="23" spans="3:13" x14ac:dyDescent="0.3">
      <c r="C23" s="55" t="str">
        <f>IFERROR(IF($C22+1&gt;YEAR('Model Parameters'!$I$12),"",$C22+1),"")</f>
        <v/>
      </c>
      <c r="D23" s="208" t="str">
        <f>IF($C23="","",IF($C23=YEAR('Model Parameters'!$I$12),$D$7*YEARFRAC('Model Parameters'!$I$12,Calculations!$R$4),$D$7))</f>
        <v/>
      </c>
      <c r="E23" s="209" t="str">
        <f>IF($C23="","",$E22*(1+'Model Parameters'!$G$18)*(1+'Model Parameters'!$G$19))</f>
        <v/>
      </c>
      <c r="F23" s="209" t="str">
        <f>IF($C23="","",IFERROR(VLOOKUP(C23,'Model Parameters'!$U$4:$X$20,4,0)*52.18*3.74,$F22*(1+'Model Parameters'!$G$18)))</f>
        <v/>
      </c>
      <c r="G23" s="209" t="str">
        <f t="shared" si="0"/>
        <v/>
      </c>
      <c r="H23" s="209" t="str">
        <f>IFERROR($D23*$E23*'Model Parameters'!$G$4,"")</f>
        <v/>
      </c>
      <c r="I23" s="209" t="str">
        <f>IFERROR(H23*IFERROR(VLOOKUP($C23,'Model Parameters'!$M$18:$N$30,2,0),1)*(1+'Model Parameters'!$G$20)^(YEAR(Calculations!$R$5)-MAX($C23,$R$14)),"")</f>
        <v/>
      </c>
      <c r="J23" s="209" t="str">
        <f>IFERROR($D23*('Model Parameters'!$G$6*MIN($E23,$F23)+'Model Parameters'!$G$5*MAX(0,$E23-$F23)),"")</f>
        <v/>
      </c>
      <c r="K23" s="209" t="str">
        <f>IFERROR(J23*IFERROR(VLOOKUP($C23,'Model Parameters'!$M$18:$N$30,2,0),1)*(1+'Model Parameters'!$G$20)^(YEAR(Calculations!$R$5)-MAX($C23,$R$14)),"")</f>
        <v/>
      </c>
    </row>
    <row r="24" spans="3:13" x14ac:dyDescent="0.3">
      <c r="C24" s="55" t="str">
        <f>IFERROR(IF($C23+1&gt;YEAR('Model Parameters'!$I$12),"",$C23+1),"")</f>
        <v/>
      </c>
      <c r="D24" s="208" t="str">
        <f>IF($C24="","",IF($C24=YEAR('Model Parameters'!$I$12),$D$7*YEARFRAC('Model Parameters'!$I$12,Calculations!$R$4),$D$7))</f>
        <v/>
      </c>
      <c r="E24" s="209" t="str">
        <f>IF($C24="","",$E23*(1+'Model Parameters'!$G$18)*(1+'Model Parameters'!$G$19))</f>
        <v/>
      </c>
      <c r="F24" s="209" t="str">
        <f>IF($C24="","",IFERROR(VLOOKUP(C24,'Model Parameters'!$U$4:$X$20,4,0)*52.18*3.74,$F23*(1+'Model Parameters'!$G$18)))</f>
        <v/>
      </c>
      <c r="G24" s="209" t="str">
        <f t="shared" si="0"/>
        <v/>
      </c>
      <c r="H24" s="209" t="str">
        <f>IFERROR($D24*$E24*'Model Parameters'!$G$4,"")</f>
        <v/>
      </c>
      <c r="I24" s="209" t="str">
        <f>IFERROR(H24*IFERROR(VLOOKUP($C24,'Model Parameters'!$M$18:$N$30,2,0),1)*(1+'Model Parameters'!$G$20)^(YEAR(Calculations!$R$5)-MAX($C24,$R$14)),"")</f>
        <v/>
      </c>
      <c r="J24" s="209" t="str">
        <f>IFERROR($D24*('Model Parameters'!$G$6*MIN($E24,$F24)+'Model Parameters'!$G$5*MAX(0,$E24-$F24)),"")</f>
        <v/>
      </c>
      <c r="K24" s="209" t="str">
        <f>IFERROR(J24*IFERROR(VLOOKUP($C24,'Model Parameters'!$M$18:$N$30,2,0),1)*(1+'Model Parameters'!$G$20)^(YEAR(Calculations!$R$5)-MAX($C24,$R$14)),"")</f>
        <v/>
      </c>
    </row>
    <row r="25" spans="3:13" x14ac:dyDescent="0.3">
      <c r="C25" s="55" t="str">
        <f>IFERROR(IF($C24+1&gt;YEAR('Model Parameters'!$I$12),"",$C24+1),"")</f>
        <v/>
      </c>
      <c r="D25" s="208" t="str">
        <f>IF($C25="","",IF($C25=YEAR('Model Parameters'!$I$12),$D$7*YEARFRAC('Model Parameters'!$I$12,Calculations!$R$4),$D$7))</f>
        <v/>
      </c>
      <c r="E25" s="209" t="str">
        <f>IF($C25="","",$E24*(1+'Model Parameters'!$G$18)*(1+'Model Parameters'!$G$19))</f>
        <v/>
      </c>
      <c r="F25" s="209" t="str">
        <f>IF($C25="","",IFERROR(VLOOKUP(C25,'Model Parameters'!$U$4:$X$20,4,0)*52.18*3.74,$F24*(1+'Model Parameters'!$G$18)))</f>
        <v/>
      </c>
      <c r="G25" s="209" t="str">
        <f t="shared" si="0"/>
        <v/>
      </c>
      <c r="H25" s="209" t="str">
        <f>IFERROR($D25*$E25*'Model Parameters'!$G$4,"")</f>
        <v/>
      </c>
      <c r="I25" s="209" t="str">
        <f>IFERROR(H25*IFERROR(VLOOKUP($C25,'Model Parameters'!$M$18:$N$30,2,0),1)*(1+'Model Parameters'!$G$20)^(YEAR(Calculations!$R$5)-MAX($C25,$R$14)),"")</f>
        <v/>
      </c>
      <c r="J25" s="209" t="str">
        <f>IFERROR($D25*('Model Parameters'!$G$6*MIN($E25,$F25)+'Model Parameters'!$G$5*MAX(0,$E25-$F25)),"")</f>
        <v/>
      </c>
      <c r="K25" s="209" t="str">
        <f>IFERROR(J25*IFERROR(VLOOKUP($C25,'Model Parameters'!$M$18:$N$30,2,0),1)*(1+'Model Parameters'!$G$20)^(YEAR(Calculations!$R$5)-MAX($C25,$R$14)),"")</f>
        <v/>
      </c>
    </row>
    <row r="26" spans="3:13" x14ac:dyDescent="0.3">
      <c r="C26" s="55" t="str">
        <f>IFERROR(IF($C25+1&gt;YEAR('Model Parameters'!$I$12),"",$C25+1),"")</f>
        <v/>
      </c>
      <c r="D26" s="208" t="str">
        <f>IF($C26="","",IF($C26=YEAR('Model Parameters'!$I$12),$D$7*YEARFRAC('Model Parameters'!$I$12,Calculations!$R$4),$D$7))</f>
        <v/>
      </c>
      <c r="E26" s="209" t="str">
        <f>IF($C26="","",$E25*(1+'Model Parameters'!$G$18)*(1+'Model Parameters'!$G$19))</f>
        <v/>
      </c>
      <c r="F26" s="209" t="str">
        <f>IF($C26="","",IFERROR(VLOOKUP(C26,'Model Parameters'!$U$4:$X$20,4,0)*52.18*3.74,$F25*(1+'Model Parameters'!$G$18)))</f>
        <v/>
      </c>
      <c r="G26" s="209" t="str">
        <f t="shared" si="0"/>
        <v/>
      </c>
      <c r="H26" s="209" t="str">
        <f>IFERROR($D26*$E26*'Model Parameters'!$G$4,"")</f>
        <v/>
      </c>
      <c r="I26" s="209" t="str">
        <f>IFERROR(H26*IFERROR(VLOOKUP($C26,'Model Parameters'!$M$18:$N$30,2,0),1)*(1+'Model Parameters'!$G$20)^(YEAR(Calculations!$R$5)-MAX($C26,$R$14)),"")</f>
        <v/>
      </c>
      <c r="J26" s="209" t="str">
        <f>IFERROR($D26*('Model Parameters'!$G$6*MIN($E26,$F26)+'Model Parameters'!$G$5*MAX(0,$E26-$F26)),"")</f>
        <v/>
      </c>
      <c r="K26" s="209" t="str">
        <f>IFERROR(J26*IFERROR(VLOOKUP($C26,'Model Parameters'!$M$18:$N$30,2,0),1)*(1+'Model Parameters'!$G$20)^(YEAR(Calculations!$R$5)-MAX($C26,$R$14)),"")</f>
        <v/>
      </c>
    </row>
    <row r="27" spans="3:13" x14ac:dyDescent="0.3">
      <c r="C27" s="55" t="str">
        <f>IFERROR(IF($C26+1&gt;YEAR('Model Parameters'!$I$12),"",$C26+1),"")</f>
        <v/>
      </c>
      <c r="D27" s="208" t="str">
        <f>IF($C27="","",IF($C27=YEAR('Model Parameters'!$I$12),$D$7*YEARFRAC('Model Parameters'!$I$12,Calculations!$R$4),$D$7))</f>
        <v/>
      </c>
      <c r="E27" s="209" t="str">
        <f>IF($C27="","",$E26*(1+'Model Parameters'!$G$18)*(1+'Model Parameters'!$G$19))</f>
        <v/>
      </c>
      <c r="F27" s="209" t="str">
        <f>IF($C27="","",IFERROR(VLOOKUP(C27,'Model Parameters'!$U$4:$X$20,4,0)*52.18*3.74,$F26*(1+'Model Parameters'!$G$18)))</f>
        <v/>
      </c>
      <c r="G27" s="209" t="str">
        <f t="shared" si="0"/>
        <v/>
      </c>
      <c r="H27" s="209" t="str">
        <f>IFERROR($D27*$E27*'Model Parameters'!$G$4,"")</f>
        <v/>
      </c>
      <c r="I27" s="209" t="str">
        <f>IFERROR(H27*IFERROR(VLOOKUP($C27,'Model Parameters'!$M$18:$N$30,2,0),1)*(1+'Model Parameters'!$G$20)^(YEAR(Calculations!$R$5)-MAX($C27,$R$14)),"")</f>
        <v/>
      </c>
      <c r="J27" s="209" t="str">
        <f>IFERROR($D27*('Model Parameters'!$G$6*MIN($E27,$F27)+'Model Parameters'!$G$5*MAX(0,$E27-$F27)),"")</f>
        <v/>
      </c>
      <c r="K27" s="209" t="str">
        <f>IFERROR(J27*IFERROR(VLOOKUP($C27,'Model Parameters'!$M$18:$N$30,2,0),1)*(1+'Model Parameters'!$G$20)^(YEAR(Calculations!$R$5)-MAX($C27,$R$14)),"")</f>
        <v/>
      </c>
    </row>
    <row r="28" spans="3:13" x14ac:dyDescent="0.3">
      <c r="C28" s="55" t="str">
        <f>IFERROR(IF($C27+1&gt;YEAR('Model Parameters'!$I$12),"",$C27+1),"")</f>
        <v/>
      </c>
      <c r="D28" s="208" t="str">
        <f>IF($C28="","",IF($C28=YEAR('Model Parameters'!$I$12),$D$7*YEARFRAC('Model Parameters'!$I$12,Calculations!$R$4),$D$7))</f>
        <v/>
      </c>
      <c r="E28" s="209" t="str">
        <f>IF($C28="","",$E27*(1+'Model Parameters'!$G$18)*(1+'Model Parameters'!$G$19))</f>
        <v/>
      </c>
      <c r="F28" s="209" t="str">
        <f>IF($C28="","",IFERROR(VLOOKUP(C28,'Model Parameters'!$U$4:$X$20,4,0)*52.18*3.74,$F27*(1+'Model Parameters'!$G$18)))</f>
        <v/>
      </c>
      <c r="G28" s="209" t="str">
        <f t="shared" si="0"/>
        <v/>
      </c>
      <c r="H28" s="209" t="str">
        <f>IFERROR($D28*$E28*'Model Parameters'!$G$4,"")</f>
        <v/>
      </c>
      <c r="I28" s="209" t="str">
        <f>IFERROR(H28*IFERROR(VLOOKUP($C28,'Model Parameters'!$M$18:$N$30,2,0),1)*(1+'Model Parameters'!$G$20)^(YEAR(Calculations!$R$5)-MAX($C28,$R$14)),"")</f>
        <v/>
      </c>
      <c r="J28" s="209" t="str">
        <f>IFERROR($D28*('Model Parameters'!$G$6*MIN($E28,$F28)+'Model Parameters'!$G$5*MAX(0,$E28-$F28)),"")</f>
        <v/>
      </c>
      <c r="K28" s="209" t="str">
        <f>IFERROR(J28*IFERROR(VLOOKUP($C28,'Model Parameters'!$M$18:$N$30,2,0),1)*(1+'Model Parameters'!$G$20)^(YEAR(Calculations!$R$5)-MAX($C28,$R$14)),"")</f>
        <v/>
      </c>
    </row>
    <row r="29" spans="3:13" x14ac:dyDescent="0.3">
      <c r="C29" s="55" t="str">
        <f>IFERROR(IF($C28+1&gt;YEAR('Model Parameters'!$I$12),"",$C28+1),"")</f>
        <v/>
      </c>
      <c r="D29" s="208" t="str">
        <f>IF($C29="","",IF($C29=YEAR('Model Parameters'!$I$12),$D$7*YEARFRAC('Model Parameters'!$I$12,Calculations!$R$4),$D$7))</f>
        <v/>
      </c>
      <c r="E29" s="209" t="str">
        <f>IF($C29="","",$E28*(1+'Model Parameters'!$G$18)*(1+'Model Parameters'!$G$19))</f>
        <v/>
      </c>
      <c r="F29" s="209" t="str">
        <f>IF($C29="","",IFERROR(VLOOKUP(C29,'Model Parameters'!$U$4:$X$20,4,0)*52.18*3.74,$F28*(1+'Model Parameters'!$G$18)))</f>
        <v/>
      </c>
      <c r="G29" s="209" t="str">
        <f t="shared" si="0"/>
        <v/>
      </c>
      <c r="H29" s="209" t="str">
        <f>IFERROR($D29*$E29*'Model Parameters'!$G$4,"")</f>
        <v/>
      </c>
      <c r="I29" s="209" t="str">
        <f>IFERROR(H29*IFERROR(VLOOKUP($C29,'Model Parameters'!$M$18:$N$30,2,0),1)*(1+'Model Parameters'!$G$20)^(YEAR(Calculations!$R$5)-MAX($C29,$R$14)),"")</f>
        <v/>
      </c>
      <c r="J29" s="209" t="str">
        <f>IFERROR($D29*('Model Parameters'!$G$6*MIN($E29,$F29)+'Model Parameters'!$G$5*MAX(0,$E29-$F29)),"")</f>
        <v/>
      </c>
      <c r="K29" s="209" t="str">
        <f>IFERROR(J29*IFERROR(VLOOKUP($C29,'Model Parameters'!$M$18:$N$30,2,0),1)*(1+'Model Parameters'!$G$20)^(YEAR(Calculations!$R$5)-MAX($C29,$R$14)),"")</f>
        <v/>
      </c>
    </row>
    <row r="30" spans="3:13" x14ac:dyDescent="0.3">
      <c r="C30" s="55" t="str">
        <f>IFERROR(IF($C29+1&gt;YEAR('Model Parameters'!$I$12),"",$C29+1),"")</f>
        <v/>
      </c>
      <c r="D30" s="208" t="str">
        <f>IF($C30="","",IF($C30=YEAR('Model Parameters'!$I$12),$D$7*YEARFRAC('Model Parameters'!$I$12,Calculations!$R$4),$D$7))</f>
        <v/>
      </c>
      <c r="E30" s="209" t="str">
        <f>IF($C30="","",$E29*(1+'Model Parameters'!$G$18)*(1+'Model Parameters'!$G$19))</f>
        <v/>
      </c>
      <c r="F30" s="209" t="str">
        <f>IF($C30="","",IFERROR(VLOOKUP(C30,'Model Parameters'!$U$4:$X$20,4,0)*52.18*3.74,$F29*(1+'Model Parameters'!$G$18)))</f>
        <v/>
      </c>
      <c r="G30" s="209" t="str">
        <f t="shared" si="0"/>
        <v/>
      </c>
      <c r="H30" s="209" t="str">
        <f>IFERROR($D30*$E30*'Model Parameters'!$G$4,"")</f>
        <v/>
      </c>
      <c r="I30" s="209" t="str">
        <f>IFERROR(H30*IFERROR(VLOOKUP($C30,'Model Parameters'!$M$18:$N$30,2,0),1)*(1+'Model Parameters'!$G$20)^(YEAR(Calculations!$R$5)-MAX($C30,$R$14)),"")</f>
        <v/>
      </c>
      <c r="J30" s="209" t="str">
        <f>IFERROR($D30*('Model Parameters'!$G$6*MIN($E30,$F30)+'Model Parameters'!$G$5*MAX(0,$E30-$F30)),"")</f>
        <v/>
      </c>
      <c r="K30" s="209" t="str">
        <f>IFERROR(J30*IFERROR(VLOOKUP($C30,'Model Parameters'!$M$18:$N$30,2,0),1)*(1+'Model Parameters'!$G$20)^(YEAR(Calculations!$R$5)-MAX($C30,$R$14)),"")</f>
        <v/>
      </c>
    </row>
    <row r="31" spans="3:13" x14ac:dyDescent="0.3">
      <c r="C31" s="55" t="str">
        <f>IFERROR(IF($C30+1&gt;YEAR('Model Parameters'!$I$12),"",$C30+1),"")</f>
        <v/>
      </c>
      <c r="D31" s="208" t="str">
        <f>IF($C31="","",IF($C31=YEAR('Model Parameters'!$I$12),$D$7*YEARFRAC('Model Parameters'!$I$12,Calculations!$R$4),$D$7))</f>
        <v/>
      </c>
      <c r="E31" s="209" t="str">
        <f>IF($C31="","",$E30*(1+'Model Parameters'!$G$18)*(1+'Model Parameters'!$G$19))</f>
        <v/>
      </c>
      <c r="F31" s="209" t="str">
        <f>IF($C31="","",IFERROR(VLOOKUP(C31,'Model Parameters'!$U$4:$X$20,4,0)*52.18*3.74,$F30*(1+'Model Parameters'!$G$18)))</f>
        <v/>
      </c>
      <c r="G31" s="209" t="str">
        <f t="shared" si="0"/>
        <v/>
      </c>
      <c r="H31" s="209" t="str">
        <f>IFERROR($D31*$E31*'Model Parameters'!$G$4,"")</f>
        <v/>
      </c>
      <c r="I31" s="209" t="str">
        <f>IFERROR(H31*IFERROR(VLOOKUP($C31,'Model Parameters'!$M$18:$N$30,2,0),1)*(1+'Model Parameters'!$G$20)^(YEAR(Calculations!$R$5)-MAX($C31,$R$14)),"")</f>
        <v/>
      </c>
      <c r="J31" s="209" t="str">
        <f>IFERROR($D31*('Model Parameters'!$G$6*MIN($E31,$F31)+'Model Parameters'!$G$5*MAX(0,$E31-$F31)),"")</f>
        <v/>
      </c>
      <c r="K31" s="209" t="str">
        <f>IFERROR(J31*IFERROR(VLOOKUP($C31,'Model Parameters'!$M$18:$N$30,2,0),1)*(1+'Model Parameters'!$G$20)^(YEAR(Calculations!$R$5)-MAX($C31,$R$14)),"")</f>
        <v/>
      </c>
    </row>
    <row r="32" spans="3:13" x14ac:dyDescent="0.3">
      <c r="C32" s="55" t="str">
        <f>IFERROR(IF($C31+1&gt;YEAR('Model Parameters'!$I$12),"",$C31+1),"")</f>
        <v/>
      </c>
      <c r="D32" s="208" t="str">
        <f>IF($C32="","",IF($C32=YEAR('Model Parameters'!$I$12),$D$7*YEARFRAC('Model Parameters'!$I$12,Calculations!$R$4),$D$7))</f>
        <v/>
      </c>
      <c r="E32" s="209" t="str">
        <f>IF($C32="","",$E31*(1+'Model Parameters'!$G$18)*(1+'Model Parameters'!$G$19))</f>
        <v/>
      </c>
      <c r="F32" s="209" t="str">
        <f>IF($C32="","",IFERROR(VLOOKUP(C32,'Model Parameters'!$U$4:$X$20,4,0)*52.18*3.74,$F31*(1+'Model Parameters'!$G$18)))</f>
        <v/>
      </c>
      <c r="G32" s="209" t="str">
        <f t="shared" si="0"/>
        <v/>
      </c>
      <c r="H32" s="209" t="str">
        <f>IFERROR($D32*$E32*'Model Parameters'!$G$4,"")</f>
        <v/>
      </c>
      <c r="I32" s="209" t="str">
        <f>IFERROR(H32*IFERROR(VLOOKUP($C32,'Model Parameters'!$M$18:$N$30,2,0),1)*(1+'Model Parameters'!$G$20)^(YEAR(Calculations!$R$5)-MAX($C32,$R$14)),"")</f>
        <v/>
      </c>
      <c r="J32" s="209" t="str">
        <f>IFERROR($D32*('Model Parameters'!$G$6*MIN($E32,$F32)+'Model Parameters'!$G$5*MAX(0,$E32-$F32)),"")</f>
        <v/>
      </c>
      <c r="K32" s="209" t="str">
        <f>IFERROR(J32*IFERROR(VLOOKUP($C32,'Model Parameters'!$M$18:$N$30,2,0),1)*(1+'Model Parameters'!$G$20)^(YEAR(Calculations!$R$5)-MAX($C32,$R$14)),"")</f>
        <v/>
      </c>
    </row>
    <row r="33" spans="3:11" x14ac:dyDescent="0.3">
      <c r="C33" s="55" t="str">
        <f>IFERROR(IF($C32+1&gt;YEAR('Model Parameters'!$I$12),"",$C32+1),"")</f>
        <v/>
      </c>
      <c r="D33" s="208" t="str">
        <f>IF($C33="","",IF($C33=YEAR('Model Parameters'!$I$12),$D$7*YEARFRAC('Model Parameters'!$I$12,Calculations!$R$4),$D$7))</f>
        <v/>
      </c>
      <c r="E33" s="209" t="str">
        <f>IF($C33="","",$E32*(1+'Model Parameters'!$G$18)*(1+'Model Parameters'!$G$19))</f>
        <v/>
      </c>
      <c r="F33" s="209" t="str">
        <f>IF($C33="","",IFERROR(VLOOKUP(C33,'Model Parameters'!$U$4:$X$20,4,0)*52.18*3.74,$F32*(1+'Model Parameters'!$G$18)))</f>
        <v/>
      </c>
      <c r="G33" s="209" t="str">
        <f t="shared" si="0"/>
        <v/>
      </c>
      <c r="H33" s="209" t="str">
        <f>IFERROR($D33*$E33*'Model Parameters'!$G$4,"")</f>
        <v/>
      </c>
      <c r="I33" s="209" t="str">
        <f>IFERROR(H33*IFERROR(VLOOKUP($C33,'Model Parameters'!$M$18:$N$30,2,0),1)*(1+'Model Parameters'!$G$20)^(YEAR(Calculations!$R$5)-MAX($C33,$R$14)),"")</f>
        <v/>
      </c>
      <c r="J33" s="209" t="str">
        <f>IFERROR($D33*('Model Parameters'!$G$6*MIN($E33,$F33)+'Model Parameters'!$G$5*MAX(0,$E33-$F33)),"")</f>
        <v/>
      </c>
      <c r="K33" s="209" t="str">
        <f>IFERROR(J33*IFERROR(VLOOKUP($C33,'Model Parameters'!$M$18:$N$30,2,0),1)*(1+'Model Parameters'!$G$20)^(YEAR(Calculations!$R$5)-MAX($C33,$R$14)),"")</f>
        <v/>
      </c>
    </row>
    <row r="34" spans="3:11" x14ac:dyDescent="0.3">
      <c r="C34" s="55" t="str">
        <f>IFERROR(IF($C33+1&gt;YEAR('Model Parameters'!$I$12),"",$C33+1),"")</f>
        <v/>
      </c>
      <c r="D34" s="208" t="str">
        <f>IF($C34="","",IF($C34=YEAR('Model Parameters'!$I$12),$D$7*YEARFRAC('Model Parameters'!$I$12,Calculations!$R$4),$D$7))</f>
        <v/>
      </c>
      <c r="E34" s="209" t="str">
        <f>IF($C34="","",$E33*(1+'Model Parameters'!$G$18)*(1+'Model Parameters'!$G$19))</f>
        <v/>
      </c>
      <c r="F34" s="209" t="str">
        <f>IF($C34="","",IFERROR(VLOOKUP(C34,'Model Parameters'!$U$4:$X$20,4,0)*52.18*3.74,$F33*(1+'Model Parameters'!$G$18)))</f>
        <v/>
      </c>
      <c r="G34" s="209" t="str">
        <f t="shared" si="0"/>
        <v/>
      </c>
      <c r="H34" s="209" t="str">
        <f>IFERROR($D34*$E34*'Model Parameters'!$G$4,"")</f>
        <v/>
      </c>
      <c r="I34" s="209" t="str">
        <f>IFERROR(H34*IFERROR(VLOOKUP($C34,'Model Parameters'!$M$18:$N$30,2,0),1)*(1+'Model Parameters'!$G$20)^(YEAR(Calculations!$R$5)-MAX($C34,$R$14)),"")</f>
        <v/>
      </c>
      <c r="J34" s="209" t="str">
        <f>IFERROR($D34*('Model Parameters'!$G$6*MIN($E34,$F34)+'Model Parameters'!$G$5*MAX(0,$E34-$F34)),"")</f>
        <v/>
      </c>
      <c r="K34" s="209" t="str">
        <f>IFERROR(J34*IFERROR(VLOOKUP($C34,'Model Parameters'!$M$18:$N$30,2,0),1)*(1+'Model Parameters'!$G$20)^(YEAR(Calculations!$R$5)-MAX($C34,$R$14)),"")</f>
        <v/>
      </c>
    </row>
    <row r="35" spans="3:11" x14ac:dyDescent="0.3">
      <c r="C35" s="55" t="str">
        <f>IFERROR(IF($C34+1&gt;YEAR('Model Parameters'!$I$12),"",$C34+1),"")</f>
        <v/>
      </c>
      <c r="D35" s="208" t="str">
        <f>IF($C35="","",IF($C35=YEAR('Model Parameters'!$I$12),$D$7*YEARFRAC('Model Parameters'!$I$12,Calculations!$R$4),$D$7))</f>
        <v/>
      </c>
      <c r="E35" s="209" t="str">
        <f>IF($C35="","",$E34*(1+'Model Parameters'!$G$18)*(1+'Model Parameters'!$G$19))</f>
        <v/>
      </c>
      <c r="F35" s="209" t="str">
        <f>IF($C35="","",IFERROR(VLOOKUP(C35,'Model Parameters'!$U$4:$X$20,4,0)*52.18*3.74,$F34*(1+'Model Parameters'!$G$18)))</f>
        <v/>
      </c>
      <c r="G35" s="209" t="str">
        <f t="shared" si="0"/>
        <v/>
      </c>
      <c r="H35" s="209" t="str">
        <f>IFERROR($D35*$E35*'Model Parameters'!$G$4,"")</f>
        <v/>
      </c>
      <c r="I35" s="209" t="str">
        <f>IFERROR(H35*IFERROR(VLOOKUP($C35,'Model Parameters'!$M$18:$N$30,2,0),1)*(1+'Model Parameters'!$G$20)^(YEAR(Calculations!$R$5)-MAX($C35,$R$14)),"")</f>
        <v/>
      </c>
      <c r="J35" s="209" t="str">
        <f>IFERROR($D35*('Model Parameters'!$G$6*MIN($E35,$F35)+'Model Parameters'!$G$5*MAX(0,$E35-$F35)),"")</f>
        <v/>
      </c>
      <c r="K35" s="209" t="str">
        <f>IFERROR(J35*IFERROR(VLOOKUP($C35,'Model Parameters'!$M$18:$N$30,2,0),1)*(1+'Model Parameters'!$G$20)^(YEAR(Calculations!$R$5)-MAX($C35,$R$14)),"")</f>
        <v/>
      </c>
    </row>
    <row r="36" spans="3:11" x14ac:dyDescent="0.3">
      <c r="C36" s="55" t="str">
        <f>IFERROR(IF($C35+1&gt;YEAR('Model Parameters'!$I$12),"",$C35+1),"")</f>
        <v/>
      </c>
      <c r="D36" s="208" t="str">
        <f>IF($C36="","",IF($C36=YEAR('Model Parameters'!$I$12),$D$7*YEARFRAC('Model Parameters'!$I$12,Calculations!$R$4),$D$7))</f>
        <v/>
      </c>
      <c r="E36" s="209" t="str">
        <f>IF($C36="","",$E35*(1+'Model Parameters'!$G$18)*(1+'Model Parameters'!$G$19))</f>
        <v/>
      </c>
      <c r="F36" s="209" t="str">
        <f>IF($C36="","",IFERROR(VLOOKUP(C36,'Model Parameters'!$U$4:$X$20,4,0)*52.18*3.74,$F35*(1+'Model Parameters'!$G$18)))</f>
        <v/>
      </c>
      <c r="G36" s="209" t="str">
        <f t="shared" si="0"/>
        <v/>
      </c>
      <c r="H36" s="209" t="str">
        <f>IFERROR($D36*$E36*'Model Parameters'!$G$4,"")</f>
        <v/>
      </c>
      <c r="I36" s="209" t="str">
        <f>IFERROR(H36*IFERROR(VLOOKUP($C36,'Model Parameters'!$M$18:$N$30,2,0),1)*(1+'Model Parameters'!$G$20)^(YEAR(Calculations!$R$5)-MAX($C36,$R$14)),"")</f>
        <v/>
      </c>
      <c r="J36" s="209" t="str">
        <f>IFERROR($D36*('Model Parameters'!$G$6*MIN($E36,$F36)+'Model Parameters'!$G$5*MAX(0,$E36-$F36)),"")</f>
        <v/>
      </c>
      <c r="K36" s="209" t="str">
        <f>IFERROR(J36*IFERROR(VLOOKUP($C36,'Model Parameters'!$M$18:$N$30,2,0),1)*(1+'Model Parameters'!$G$20)^(YEAR(Calculations!$R$5)-MAX($C36,$R$14)),"")</f>
        <v/>
      </c>
    </row>
    <row r="37" spans="3:11" x14ac:dyDescent="0.3">
      <c r="C37" s="55" t="str">
        <f>IFERROR(IF($C36+1&gt;YEAR('Model Parameters'!$I$12),"",$C36+1),"")</f>
        <v/>
      </c>
      <c r="D37" s="208" t="str">
        <f>IF($C37="","",IF($C37=YEAR('Model Parameters'!$I$12),$D$7*YEARFRAC('Model Parameters'!$I$12,Calculations!$R$4),$D$7))</f>
        <v/>
      </c>
      <c r="E37" s="209" t="str">
        <f>IF($C37="","",$E36*(1+'Model Parameters'!$G$18)*(1+'Model Parameters'!$G$19))</f>
        <v/>
      </c>
      <c r="F37" s="209" t="str">
        <f>IF($C37="","",IFERROR(VLOOKUP(C37,'Model Parameters'!$U$4:$X$20,4,0)*52.18*3.74,$F36*(1+'Model Parameters'!$G$18)))</f>
        <v/>
      </c>
      <c r="G37" s="209" t="str">
        <f t="shared" si="0"/>
        <v/>
      </c>
      <c r="H37" s="209" t="str">
        <f>IFERROR($D37*$E37*'Model Parameters'!$G$4,"")</f>
        <v/>
      </c>
      <c r="I37" s="209" t="str">
        <f>IFERROR(H37*IFERROR(VLOOKUP($C37,'Model Parameters'!$M$18:$N$30,2,0),1)*(1+'Model Parameters'!$G$20)^(YEAR(Calculations!$R$5)-MAX($C37,$R$14)),"")</f>
        <v/>
      </c>
      <c r="J37" s="209" t="str">
        <f>IFERROR($D37*('Model Parameters'!$G$6*MIN($E37,$F37)+'Model Parameters'!$G$5*MAX(0,$E37-$F37)),"")</f>
        <v/>
      </c>
      <c r="K37" s="209" t="str">
        <f>IFERROR(J37*IFERROR(VLOOKUP($C37,'Model Parameters'!$M$18:$N$30,2,0),1)*(1+'Model Parameters'!$G$20)^(YEAR(Calculations!$R$5)-MAX($C37,$R$14)),"")</f>
        <v/>
      </c>
    </row>
    <row r="38" spans="3:11" x14ac:dyDescent="0.3">
      <c r="C38" s="55" t="str">
        <f>IFERROR(IF($C37+1&gt;YEAR('Model Parameters'!$I$12),"",$C37+1),"")</f>
        <v/>
      </c>
      <c r="D38" s="208" t="str">
        <f>IF($C38="","",IF($C38=YEAR('Model Parameters'!$I$12),$D$7*YEARFRAC('Model Parameters'!$I$12,Calculations!$R$4),$D$7))</f>
        <v/>
      </c>
      <c r="E38" s="209" t="str">
        <f>IF($C38="","",$E37*(1+'Model Parameters'!$G$18)*(1+'Model Parameters'!$G$19))</f>
        <v/>
      </c>
      <c r="F38" s="209" t="str">
        <f>IF($C38="","",IFERROR(VLOOKUP(C38,'Model Parameters'!$U$4:$X$20,4,0)*52.18*3.74,$F37*(1+'Model Parameters'!$G$18)))</f>
        <v/>
      </c>
      <c r="G38" s="209" t="str">
        <f t="shared" si="0"/>
        <v/>
      </c>
      <c r="H38" s="209" t="str">
        <f>IFERROR($D38*$E38*'Model Parameters'!$G$4,"")</f>
        <v/>
      </c>
      <c r="I38" s="209" t="str">
        <f>IFERROR(H38*IFERROR(VLOOKUP($C38,'Model Parameters'!$M$18:$N$30,2,0),1)*(1+'Model Parameters'!$G$20)^(YEAR(Calculations!$R$5)-MAX($C38,$R$14)),"")</f>
        <v/>
      </c>
      <c r="J38" s="209" t="str">
        <f>IFERROR($D38*('Model Parameters'!$G$6*MIN($E38,$F38)+'Model Parameters'!$G$5*MAX(0,$E38-$F38)),"")</f>
        <v/>
      </c>
      <c r="K38" s="209" t="str">
        <f>IFERROR(J38*IFERROR(VLOOKUP($C38,'Model Parameters'!$M$18:$N$30,2,0),1)*(1+'Model Parameters'!$G$20)^(YEAR(Calculations!$R$5)-MAX($C38,$R$14)),"")</f>
        <v/>
      </c>
    </row>
    <row r="39" spans="3:11" x14ac:dyDescent="0.3">
      <c r="C39" s="55" t="str">
        <f>IFERROR(IF($C38+1&gt;YEAR('Model Parameters'!$I$12),"",$C38+1),"")</f>
        <v/>
      </c>
      <c r="D39" s="208" t="str">
        <f>IF($C39="","",IF($C39=YEAR('Model Parameters'!$I$12),$D$7*YEARFRAC('Model Parameters'!$I$12,Calculations!$R$4),$D$7))</f>
        <v/>
      </c>
      <c r="E39" s="209" t="str">
        <f>IF($C39="","",$E38*(1+'Model Parameters'!$G$18)*(1+'Model Parameters'!$G$19))</f>
        <v/>
      </c>
      <c r="F39" s="209" t="str">
        <f>IF($C39="","",IFERROR(VLOOKUP(C39,'Model Parameters'!$U$4:$X$20,4,0)*52.18*3.74,$F38*(1+'Model Parameters'!$G$18)))</f>
        <v/>
      </c>
      <c r="G39" s="209" t="str">
        <f t="shared" si="0"/>
        <v/>
      </c>
      <c r="H39" s="209" t="str">
        <f>IFERROR($D39*$E39*'Model Parameters'!$G$4,"")</f>
        <v/>
      </c>
      <c r="I39" s="209" t="str">
        <f>IFERROR(H39*IFERROR(VLOOKUP($C39,'Model Parameters'!$M$18:$N$30,2,0),1)*(1+'Model Parameters'!$G$20)^(YEAR(Calculations!$R$5)-MAX($C39,$R$14)),"")</f>
        <v/>
      </c>
      <c r="J39" s="209" t="str">
        <f>IFERROR($D39*('Model Parameters'!$G$6*MIN($E39,$F39)+'Model Parameters'!$G$5*MAX(0,$E39-$F39)),"")</f>
        <v/>
      </c>
      <c r="K39" s="209" t="str">
        <f>IFERROR(J39*IFERROR(VLOOKUP($C39,'Model Parameters'!$M$18:$N$30,2,0),1)*(1+'Model Parameters'!$G$20)^(YEAR(Calculations!$R$5)-MAX($C39,$R$14)),"")</f>
        <v/>
      </c>
    </row>
    <row r="40" spans="3:11" x14ac:dyDescent="0.3">
      <c r="C40" s="55" t="str">
        <f>IFERROR(IF($C39+1&gt;YEAR('Model Parameters'!$I$12),"",$C39+1),"")</f>
        <v/>
      </c>
      <c r="D40" s="208" t="str">
        <f>IF($C40="","",IF($C40=YEAR('Model Parameters'!$I$12),$D$7*YEARFRAC('Model Parameters'!$I$12,Calculations!$R$4),$D$7))</f>
        <v/>
      </c>
      <c r="E40" s="209" t="str">
        <f>IF($C40="","",$E39*(1+'Model Parameters'!$G$18)*(1+'Model Parameters'!$G$19))</f>
        <v/>
      </c>
      <c r="F40" s="209" t="str">
        <f>IF($C40="","",IFERROR(VLOOKUP(C40,'Model Parameters'!$U$4:$X$20,4,0)*52.18*3.74,$F39*(1+'Model Parameters'!$G$18)))</f>
        <v/>
      </c>
      <c r="G40" s="209" t="str">
        <f t="shared" si="0"/>
        <v/>
      </c>
      <c r="H40" s="209" t="str">
        <f>IFERROR($D40*$E40*'Model Parameters'!$G$4,"")</f>
        <v/>
      </c>
      <c r="I40" s="209" t="str">
        <f>IFERROR(H40*IFERROR(VLOOKUP($C40,'Model Parameters'!$M$18:$N$30,2,0),1)*(1+'Model Parameters'!$G$20)^(YEAR(Calculations!$R$5)-MAX($C40,$R$14)),"")</f>
        <v/>
      </c>
      <c r="J40" s="209" t="str">
        <f>IFERROR($D40*('Model Parameters'!$G$6*MIN($E40,$F40)+'Model Parameters'!$G$5*MAX(0,$E40-$F40)),"")</f>
        <v/>
      </c>
      <c r="K40" s="209" t="str">
        <f>IFERROR(J40*IFERROR(VLOOKUP($C40,'Model Parameters'!$M$18:$N$30,2,0),1)*(1+'Model Parameters'!$G$20)^(YEAR(Calculations!$R$5)-MAX($C40,$R$14)),"")</f>
        <v/>
      </c>
    </row>
    <row r="41" spans="3:11" x14ac:dyDescent="0.3">
      <c r="C41" s="55" t="str">
        <f>IFERROR(IF($C40+1&gt;YEAR('Model Parameters'!$I$12),"",$C40+1),"")</f>
        <v/>
      </c>
      <c r="D41" s="208" t="str">
        <f>IF($C41="","",IF($C41=YEAR('Model Parameters'!$I$12),$D$7*YEARFRAC('Model Parameters'!$I$12,Calculations!$R$4),$D$7))</f>
        <v/>
      </c>
      <c r="E41" s="209" t="str">
        <f>IF($C41="","",$E40*(1+'Model Parameters'!$G$18)*(1+'Model Parameters'!$G$19))</f>
        <v/>
      </c>
      <c r="F41" s="209" t="str">
        <f>IF($C41="","",IFERROR(VLOOKUP(C41,'Model Parameters'!$U$4:$X$20,4,0)*52.18*3.74,$F40*(1+'Model Parameters'!$G$18)))</f>
        <v/>
      </c>
      <c r="G41" s="209" t="str">
        <f t="shared" si="0"/>
        <v/>
      </c>
      <c r="H41" s="209" t="str">
        <f>IFERROR($D41*$E41*'Model Parameters'!$G$4,"")</f>
        <v/>
      </c>
      <c r="I41" s="209" t="str">
        <f>IFERROR(H41*IFERROR(VLOOKUP($C41,'Model Parameters'!$M$18:$N$30,2,0),1)*(1+'Model Parameters'!$G$20)^(YEAR(Calculations!$R$5)-MAX($C41,$R$14)),"")</f>
        <v/>
      </c>
      <c r="J41" s="209" t="str">
        <f>IFERROR($D41*('Model Parameters'!$G$6*MIN($E41,$F41)+'Model Parameters'!$G$5*MAX(0,$E41-$F41)),"")</f>
        <v/>
      </c>
      <c r="K41" s="209" t="str">
        <f>IFERROR(J41*IFERROR(VLOOKUP($C41,'Model Parameters'!$M$18:$N$30,2,0),1)*(1+'Model Parameters'!$G$20)^(YEAR(Calculations!$R$5)-MAX($C41,$R$14)),"")</f>
        <v/>
      </c>
    </row>
    <row r="42" spans="3:11" x14ac:dyDescent="0.3">
      <c r="C42" s="55" t="str">
        <f>IFERROR(IF($C41+1&gt;YEAR('Model Parameters'!$I$12),"",$C41+1),"")</f>
        <v/>
      </c>
      <c r="D42" s="208" t="str">
        <f>IF($C42="","",IF($C42=YEAR('Model Parameters'!$I$12),$D$7*YEARFRAC('Model Parameters'!$I$12,Calculations!$R$4),$D$7))</f>
        <v/>
      </c>
      <c r="E42" s="209" t="str">
        <f>IF($C42="","",$E41*(1+'Model Parameters'!$G$18)*(1+'Model Parameters'!$G$19))</f>
        <v/>
      </c>
      <c r="F42" s="209" t="str">
        <f>IF($C42="","",IFERROR(VLOOKUP(C42,'Model Parameters'!$U$4:$X$20,4,0)*52.18*3.74,$F41*(1+'Model Parameters'!$G$18)))</f>
        <v/>
      </c>
      <c r="G42" s="209" t="str">
        <f t="shared" si="0"/>
        <v/>
      </c>
      <c r="H42" s="209" t="str">
        <f>IFERROR($D42*$E42*'Model Parameters'!$G$4,"")</f>
        <v/>
      </c>
      <c r="I42" s="209" t="str">
        <f>IFERROR(H42*IFERROR(VLOOKUP($C42,'Model Parameters'!$M$18:$N$30,2,0),1)*(1+'Model Parameters'!$G$20)^(YEAR(Calculations!$R$5)-MAX($C42,$R$14)),"")</f>
        <v/>
      </c>
      <c r="J42" s="209" t="str">
        <f>IFERROR($D42*('Model Parameters'!$G$6*MIN($E42,$F42)+'Model Parameters'!$G$5*MAX(0,$E42-$F42)),"")</f>
        <v/>
      </c>
      <c r="K42" s="209" t="str">
        <f>IFERROR(J42*IFERROR(VLOOKUP($C42,'Model Parameters'!$M$18:$N$30,2,0),1)*(1+'Model Parameters'!$G$20)^(YEAR(Calculations!$R$5)-MAX($C42,$R$14)),"")</f>
        <v/>
      </c>
    </row>
    <row r="43" spans="3:11" x14ac:dyDescent="0.3">
      <c r="C43" s="55" t="str">
        <f>IFERROR(IF($C42+1&gt;YEAR('Model Parameters'!$I$12),"",$C42+1),"")</f>
        <v/>
      </c>
      <c r="D43" s="208" t="str">
        <f>IF($C43="","",IF($C43=YEAR('Model Parameters'!$I$12),$D$7*YEARFRAC('Model Parameters'!$I$12,Calculations!$R$4),$D$7))</f>
        <v/>
      </c>
      <c r="E43" s="209" t="str">
        <f>IF($C43="","",$E42*(1+'Model Parameters'!$G$18)*(1+'Model Parameters'!$G$19))</f>
        <v/>
      </c>
      <c r="F43" s="209" t="str">
        <f>IF($C43="","",IFERROR(VLOOKUP(C43,'Model Parameters'!$U$4:$X$20,4,0)*52.18*3.74,$F42*(1+'Model Parameters'!$G$18)))</f>
        <v/>
      </c>
      <c r="G43" s="209" t="str">
        <f t="shared" si="0"/>
        <v/>
      </c>
      <c r="H43" s="209" t="str">
        <f>IFERROR($D43*$E43*'Model Parameters'!$G$4,"")</f>
        <v/>
      </c>
      <c r="I43" s="209" t="str">
        <f>IFERROR(H43*IFERROR(VLOOKUP($C43,'Model Parameters'!$M$18:$N$30,2,0),1)*(1+'Model Parameters'!$G$20)^(YEAR(Calculations!$R$5)-MAX($C43,$R$14)),"")</f>
        <v/>
      </c>
      <c r="J43" s="209" t="str">
        <f>IFERROR($D43*('Model Parameters'!$G$6*MIN($E43,$F43)+'Model Parameters'!$G$5*MAX(0,$E43-$F43)),"")</f>
        <v/>
      </c>
      <c r="K43" s="209" t="str">
        <f>IFERROR(J43*IFERROR(VLOOKUP($C43,'Model Parameters'!$M$18:$N$30,2,0),1)*(1+'Model Parameters'!$G$20)^(YEAR(Calculations!$R$5)-MAX($C43,$R$14)),"")</f>
        <v/>
      </c>
    </row>
    <row r="44" spans="3:11" x14ac:dyDescent="0.3">
      <c r="C44" s="55" t="str">
        <f>IFERROR(IF($C43+1&gt;YEAR('Model Parameters'!$I$12),"",$C43+1),"")</f>
        <v/>
      </c>
      <c r="D44" s="208" t="str">
        <f>IF($C44="","",IF($C44=YEAR('Model Parameters'!$I$12),$D$7*YEARFRAC('Model Parameters'!$I$12,Calculations!$R$4),$D$7))</f>
        <v/>
      </c>
      <c r="E44" s="209" t="str">
        <f>IF($C44="","",$E43*(1+'Model Parameters'!$G$18)*(1+'Model Parameters'!$G$19))</f>
        <v/>
      </c>
      <c r="F44" s="209" t="str">
        <f>IF($C44="","",IFERROR(VLOOKUP(C44,'Model Parameters'!$U$4:$X$20,4,0)*52.18*3.74,$F43*(1+'Model Parameters'!$G$18)))</f>
        <v/>
      </c>
      <c r="G44" s="209" t="str">
        <f t="shared" si="0"/>
        <v/>
      </c>
      <c r="H44" s="209" t="str">
        <f>IFERROR($D44*$E44*'Model Parameters'!$G$4,"")</f>
        <v/>
      </c>
      <c r="I44" s="209" t="str">
        <f>IFERROR(H44*IFERROR(VLOOKUP($C44,'Model Parameters'!$M$18:$N$30,2,0),1)*(1+'Model Parameters'!$G$20)^(YEAR(Calculations!$R$5)-MAX($C44,$R$14)),"")</f>
        <v/>
      </c>
      <c r="J44" s="209" t="str">
        <f>IFERROR($D44*('Model Parameters'!$G$6*MIN($E44,$F44)+'Model Parameters'!$G$5*MAX(0,$E44-$F44)),"")</f>
        <v/>
      </c>
      <c r="K44" s="209" t="str">
        <f>IFERROR(J44*IFERROR(VLOOKUP($C44,'Model Parameters'!$M$18:$N$30,2,0),1)*(1+'Model Parameters'!$G$20)^(YEAR(Calculations!$R$5)-MAX($C44,$R$14)),"")</f>
        <v/>
      </c>
    </row>
    <row r="45" spans="3:11" x14ac:dyDescent="0.3">
      <c r="C45" s="55" t="str">
        <f>IFERROR(IF($C44+1&gt;YEAR('Model Parameters'!$I$12),"",$C44+1),"")</f>
        <v/>
      </c>
      <c r="D45" s="208" t="str">
        <f>IF($C45="","",IF($C45=YEAR('Model Parameters'!$I$12),$D$7*YEARFRAC('Model Parameters'!$I$12,Calculations!$R$4),$D$7))</f>
        <v/>
      </c>
      <c r="E45" s="209" t="str">
        <f>IF($C45="","",$E44*(1+'Model Parameters'!$G$18)*(1+'Model Parameters'!$G$19))</f>
        <v/>
      </c>
      <c r="F45" s="209" t="str">
        <f>IF($C45="","",IFERROR(VLOOKUP(C45,'Model Parameters'!$U$4:$X$20,4,0)*52.18*3.74,$F44*(1+'Model Parameters'!$G$18)))</f>
        <v/>
      </c>
      <c r="G45" s="209" t="str">
        <f t="shared" si="0"/>
        <v/>
      </c>
      <c r="H45" s="209" t="str">
        <f>IFERROR($D45*$E45*'Model Parameters'!$G$4,"")</f>
        <v/>
      </c>
      <c r="I45" s="209" t="str">
        <f>IFERROR(H45*IFERROR(VLOOKUP($C45,'Model Parameters'!$M$18:$N$30,2,0),1)*(1+'Model Parameters'!$G$20)^(YEAR(Calculations!$R$5)-MAX($C45,$R$14)),"")</f>
        <v/>
      </c>
      <c r="J45" s="209" t="str">
        <f>IFERROR($D45*('Model Parameters'!$G$6*MIN($E45,$F45)+'Model Parameters'!$G$5*MAX(0,$E45-$F45)),"")</f>
        <v/>
      </c>
      <c r="K45" s="209" t="str">
        <f>IFERROR(J45*IFERROR(VLOOKUP($C45,'Model Parameters'!$M$18:$N$30,2,0),1)*(1+'Model Parameters'!$G$20)^(YEAR(Calculations!$R$5)-MAX($C45,$R$14)),"")</f>
        <v/>
      </c>
    </row>
    <row r="46" spans="3:11" x14ac:dyDescent="0.3">
      <c r="C46" s="55" t="str">
        <f>IFERROR(IF($C45+1&gt;YEAR('Model Parameters'!$I$12),"",$C45+1),"")</f>
        <v/>
      </c>
      <c r="D46" s="208" t="str">
        <f>IF($C46="","",IF($C46=YEAR('Model Parameters'!$I$12),$D$7*YEARFRAC('Model Parameters'!$I$12,Calculations!$R$4),$D$7))</f>
        <v/>
      </c>
      <c r="E46" s="209" t="str">
        <f>IF($C46="","",$E45*(1+'Model Parameters'!$G$18)*(1+'Model Parameters'!$G$19))</f>
        <v/>
      </c>
      <c r="F46" s="209" t="str">
        <f>IF($C46="","",IFERROR(VLOOKUP(C46,'Model Parameters'!$U$4:$X$20,4,0)*52.18*3.74,$F45*(1+'Model Parameters'!$G$18)))</f>
        <v/>
      </c>
      <c r="G46" s="209" t="str">
        <f t="shared" si="0"/>
        <v/>
      </c>
      <c r="H46" s="209" t="str">
        <f>IFERROR($D46*$E46*'Model Parameters'!$G$4,"")</f>
        <v/>
      </c>
      <c r="I46" s="209" t="str">
        <f>IFERROR(H46*IFERROR(VLOOKUP($C46,'Model Parameters'!$M$18:$N$30,2,0),1)*(1+'Model Parameters'!$G$20)^(YEAR(Calculations!$R$5)-MAX($C46,$R$14)),"")</f>
        <v/>
      </c>
      <c r="J46" s="209" t="str">
        <f>IFERROR($D46*('Model Parameters'!$G$6*MIN($E46,$F46)+'Model Parameters'!$G$5*MAX(0,$E46-$F46)),"")</f>
        <v/>
      </c>
      <c r="K46" s="209" t="str">
        <f>IFERROR(J46*IFERROR(VLOOKUP($C46,'Model Parameters'!$M$18:$N$30,2,0),1)*(1+'Model Parameters'!$G$20)^(YEAR(Calculations!$R$5)-MAX($C46,$R$14)),"")</f>
        <v/>
      </c>
    </row>
    <row r="47" spans="3:11" x14ac:dyDescent="0.3">
      <c r="C47" s="55" t="str">
        <f>IFERROR(IF($C46+1&gt;YEAR('Model Parameters'!$I$12),"",$C46+1),"")</f>
        <v/>
      </c>
      <c r="D47" s="208" t="str">
        <f>IF($C47="","",IF($C47=YEAR('Model Parameters'!$I$12),$D$7*YEARFRAC('Model Parameters'!$I$12,Calculations!$R$4),$D$7))</f>
        <v/>
      </c>
      <c r="E47" s="209" t="str">
        <f>IF($C47="","",$E46*(1+'Model Parameters'!$G$18)*(1+'Model Parameters'!$G$19))</f>
        <v/>
      </c>
      <c r="F47" s="209" t="str">
        <f>IF($C47="","",IFERROR(VLOOKUP(C47,'Model Parameters'!$U$4:$X$20,4,0)*52.18*3.74,$F46*(1+'Model Parameters'!$G$18)))</f>
        <v/>
      </c>
      <c r="G47" s="209" t="str">
        <f t="shared" si="0"/>
        <v/>
      </c>
      <c r="H47" s="209" t="str">
        <f>IFERROR($D47*$E47*'Model Parameters'!$G$4,"")</f>
        <v/>
      </c>
      <c r="I47" s="209" t="str">
        <f>IFERROR(H47*IFERROR(VLOOKUP($C47,'Model Parameters'!$M$18:$N$30,2,0),1)*(1+'Model Parameters'!$G$20)^(YEAR(Calculations!$R$5)-MAX($C47,$R$14)),"")</f>
        <v/>
      </c>
      <c r="J47" s="209" t="str">
        <f>IFERROR($D47*('Model Parameters'!$G$6*MIN($E47,$F47)+'Model Parameters'!$G$5*MAX(0,$E47-$F47)),"")</f>
        <v/>
      </c>
      <c r="K47" s="209" t="str">
        <f>IFERROR(J47*IFERROR(VLOOKUP($C47,'Model Parameters'!$M$18:$N$30,2,0),1)*(1+'Model Parameters'!$G$20)^(YEAR(Calculations!$R$5)-MAX($C47,$R$14)),"")</f>
        <v/>
      </c>
    </row>
    <row r="48" spans="3:11" x14ac:dyDescent="0.3">
      <c r="C48" s="55" t="str">
        <f>IFERROR(IF($C47+1&gt;YEAR('Model Parameters'!$I$12),"",$C47+1),"")</f>
        <v/>
      </c>
      <c r="D48" s="208" t="str">
        <f>IF($C48="","",IF($C48=YEAR('Model Parameters'!$I$12),$D$7*YEARFRAC('Model Parameters'!$I$12,Calculations!$R$4),$D$7))</f>
        <v/>
      </c>
      <c r="E48" s="209" t="str">
        <f>IF($C48="","",$E47*(1+'Model Parameters'!$G$18)*(1+'Model Parameters'!$G$19))</f>
        <v/>
      </c>
      <c r="F48" s="209" t="str">
        <f>IF($C48="","",IFERROR(VLOOKUP(C48,'Model Parameters'!$U$4:$X$20,4,0)*52.18*3.74,$F47*(1+'Model Parameters'!$G$18)))</f>
        <v/>
      </c>
      <c r="G48" s="209" t="str">
        <f t="shared" si="0"/>
        <v/>
      </c>
      <c r="H48" s="209" t="str">
        <f>IFERROR($D48*$E48*'Model Parameters'!$G$4,"")</f>
        <v/>
      </c>
      <c r="I48" s="209" t="str">
        <f>IFERROR(H48*IFERROR(VLOOKUP($C48,'Model Parameters'!$M$18:$N$30,2,0),1)*(1+'Model Parameters'!$G$20)^(YEAR(Calculations!$R$5)-MAX($C48,$R$14)),"")</f>
        <v/>
      </c>
      <c r="J48" s="209" t="str">
        <f>IFERROR($D48*('Model Parameters'!$G$6*MIN($E48,$F48)+'Model Parameters'!$G$5*MAX(0,$E48-$F48)),"")</f>
        <v/>
      </c>
      <c r="K48" s="209" t="str">
        <f>IFERROR(J48*IFERROR(VLOOKUP($C48,'Model Parameters'!$M$18:$N$30,2,0),1)*(1+'Model Parameters'!$G$20)^(YEAR(Calculations!$R$5)-MAX($C48,$R$14)),"")</f>
        <v/>
      </c>
    </row>
    <row r="49" spans="2:11" x14ac:dyDescent="0.3">
      <c r="C49" s="55" t="str">
        <f>IFERROR(IF($C48+1&gt;YEAR('Model Parameters'!$I$12),"",$C48+1),"")</f>
        <v/>
      </c>
      <c r="D49" s="208" t="str">
        <f>IF($C49="","",IF($C49=YEAR('Model Parameters'!$I$12),$D$7*YEARFRAC('Model Parameters'!$I$12,Calculations!$R$4),$D$7))</f>
        <v/>
      </c>
      <c r="E49" s="209" t="str">
        <f>IF($C49="","",$E48*(1+'Model Parameters'!$G$18)*(1+'Model Parameters'!$G$19))</f>
        <v/>
      </c>
      <c r="F49" s="209" t="str">
        <f>IF($C49="","",IFERROR(VLOOKUP(C49,'Model Parameters'!$U$4:$X$20,4,0)*52.18*3.74,$F48*(1+'Model Parameters'!$G$18)))</f>
        <v/>
      </c>
      <c r="G49" s="209" t="str">
        <f t="shared" si="0"/>
        <v/>
      </c>
      <c r="H49" s="209" t="str">
        <f>IFERROR($D49*$E49*'Model Parameters'!$G$4,"")</f>
        <v/>
      </c>
      <c r="I49" s="209" t="str">
        <f>IFERROR(H49*IFERROR(VLOOKUP($C49,'Model Parameters'!$M$18:$N$30,2,0),1)*(1+'Model Parameters'!$G$20)^(YEAR(Calculations!$R$5)-MAX($C49,$R$14)),"")</f>
        <v/>
      </c>
      <c r="J49" s="209" t="str">
        <f>IFERROR($D49*('Model Parameters'!$G$6*MIN($E49,$F49)+'Model Parameters'!$G$5*MAX(0,$E49-$F49)),"")</f>
        <v/>
      </c>
      <c r="K49" s="209" t="str">
        <f>IFERROR(J49*IFERROR(VLOOKUP($C49,'Model Parameters'!$M$18:$N$30,2,0),1)*(1+'Model Parameters'!$G$20)^(YEAR(Calculations!$R$5)-MAX($C49,$R$14)),"")</f>
        <v/>
      </c>
    </row>
    <row r="50" spans="2:11" x14ac:dyDescent="0.3">
      <c r="C50" s="55" t="str">
        <f>IFERROR(IF($C49+1&gt;YEAR('Model Parameters'!$I$12),"",$C49+1),"")</f>
        <v/>
      </c>
      <c r="D50" s="208" t="str">
        <f>IF($C50="","",IF($C50=YEAR('Model Parameters'!$I$12),$D$7*YEARFRAC('Model Parameters'!$I$12,Calculations!$R$4),$D$7))</f>
        <v/>
      </c>
      <c r="E50" s="209" t="str">
        <f>IF($C50="","",$E49*(1+'Model Parameters'!$G$18)*(1+'Model Parameters'!$G$19))</f>
        <v/>
      </c>
      <c r="F50" s="209" t="str">
        <f>IF($C50="","",IFERROR(VLOOKUP(C50,'Model Parameters'!$U$4:$X$20,4,0)*52.18*3.74,$F49*(1+'Model Parameters'!$G$18)))</f>
        <v/>
      </c>
      <c r="G50" s="209" t="str">
        <f t="shared" si="0"/>
        <v/>
      </c>
      <c r="H50" s="209" t="str">
        <f>IFERROR($D50*$E50*'Model Parameters'!$G$4,"")</f>
        <v/>
      </c>
      <c r="I50" s="209" t="str">
        <f>IFERROR(H50*IFERROR(VLOOKUP($C50,'Model Parameters'!$M$18:$N$30,2,0),1)*(1+'Model Parameters'!$G$20)^(YEAR(Calculations!$R$5)-MAX($C50,$R$14)),"")</f>
        <v/>
      </c>
      <c r="J50" s="209" t="str">
        <f>IFERROR($D50*('Model Parameters'!$G$6*MIN($E50,$F50)+'Model Parameters'!$G$5*MAX(0,$E50-$F50)),"")</f>
        <v/>
      </c>
      <c r="K50" s="209" t="str">
        <f>IFERROR(J50*IFERROR(VLOOKUP($C50,'Model Parameters'!$M$18:$N$30,2,0),1)*(1+'Model Parameters'!$G$20)^(YEAR(Calculations!$R$5)-MAX($C50,$R$14)),"")</f>
        <v/>
      </c>
    </row>
    <row r="51" spans="2:11" x14ac:dyDescent="0.3">
      <c r="C51" s="55" t="str">
        <f>IFERROR(IF($C50+1&gt;YEAR('Model Parameters'!$I$12),"",$C50+1),"")</f>
        <v/>
      </c>
      <c r="D51" s="208" t="str">
        <f>IF($C51="","",IF($C51=YEAR('Model Parameters'!$I$12),$D$7*YEARFRAC('Model Parameters'!$I$12,Calculations!$R$4),$D$7))</f>
        <v/>
      </c>
      <c r="E51" s="209" t="str">
        <f>IF($C51="","",$E50*(1+'Model Parameters'!$G$18)*(1+'Model Parameters'!$G$19))</f>
        <v/>
      </c>
      <c r="F51" s="209" t="str">
        <f>IF($C51="","",IFERROR(VLOOKUP(C51,'Model Parameters'!$U$4:$X$20,4,0)*52.18*3.74,$F50*(1+'Model Parameters'!$G$18)))</f>
        <v/>
      </c>
      <c r="G51" s="209" t="str">
        <f t="shared" si="0"/>
        <v/>
      </c>
      <c r="H51" s="209" t="str">
        <f>IFERROR($D51*$E51*'Model Parameters'!$G$4,"")</f>
        <v/>
      </c>
      <c r="I51" s="209" t="str">
        <f>IFERROR(H51*IFERROR(VLOOKUP($C51,'Model Parameters'!$M$18:$N$30,2,0),1)*(1+'Model Parameters'!$G$20)^(YEAR(Calculations!$R$5)-MAX($C51,$R$14)),"")</f>
        <v/>
      </c>
      <c r="J51" s="209" t="str">
        <f>IFERROR($D51*('Model Parameters'!$G$6*MIN($E51,$F51)+'Model Parameters'!$G$5*MAX(0,$E51-$F51)),"")</f>
        <v/>
      </c>
      <c r="K51" s="209" t="str">
        <f>IFERROR(J51*IFERROR(VLOOKUP($C51,'Model Parameters'!$M$18:$N$30,2,0),1)*(1+'Model Parameters'!$G$20)^(YEAR(Calculations!$R$5)-MAX($C51,$R$14)),"")</f>
        <v/>
      </c>
    </row>
    <row r="52" spans="2:11" x14ac:dyDescent="0.3">
      <c r="B52" s="177"/>
      <c r="C52" s="55" t="str">
        <f>IFERROR(IF($C51+1&gt;YEAR('Model Parameters'!$I$12),"",$C51+1),"")</f>
        <v/>
      </c>
      <c r="D52" s="208" t="str">
        <f>IF($C52="","",IF($C52=YEAR('Model Parameters'!$I$12),$D$7*YEARFRAC('Model Parameters'!$I$12,Calculations!$R$4),$D$7))</f>
        <v/>
      </c>
      <c r="E52" s="209" t="str">
        <f>IF($C52="","",$E51*(1+'Model Parameters'!$G$18)*(1+'Model Parameters'!$G$19))</f>
        <v/>
      </c>
      <c r="F52" s="209" t="str">
        <f>IF($C52="","",IFERROR(VLOOKUP(C52,'Model Parameters'!$U$4:$X$20,4,0)*52.18*3.74,$F51*(1+'Model Parameters'!$G$18)))</f>
        <v/>
      </c>
      <c r="G52" s="209" t="str">
        <f t="shared" si="0"/>
        <v/>
      </c>
      <c r="H52" s="209" t="str">
        <f>IFERROR($D52*$E52*'Model Parameters'!$G$4,"")</f>
        <v/>
      </c>
      <c r="I52" s="209" t="str">
        <f>IFERROR(H52*IFERROR(VLOOKUP($C52,'Model Parameters'!$M$18:$N$30,2,0),1)*(1+'Model Parameters'!$G$20)^(YEAR(Calculations!$R$5)-MAX($C52,$R$14)),"")</f>
        <v/>
      </c>
      <c r="J52" s="209" t="str">
        <f>IFERROR($D52*('Model Parameters'!$G$6*MIN($E52,$F52)+'Model Parameters'!$G$5*MAX(0,$E52-$F52)),"")</f>
        <v/>
      </c>
      <c r="K52" s="209" t="str">
        <f>IFERROR(J52*IFERROR(VLOOKUP($C52,'Model Parameters'!$M$18:$N$30,2,0),1)*(1+'Model Parameters'!$G$20)^(YEAR(Calculations!$R$5)-MAX($C52,$R$14)),"")</f>
        <v/>
      </c>
    </row>
    <row r="53" spans="2:11" x14ac:dyDescent="0.3">
      <c r="C53" s="55" t="str">
        <f>IFERROR(IF($C52+1&gt;YEAR('Model Parameters'!$I$12),"",$C52+1),"")</f>
        <v/>
      </c>
      <c r="D53" s="208" t="str">
        <f>IF($C53="","",IF($C53=YEAR('Model Parameters'!$I$12),$D$7*YEARFRAC('Model Parameters'!$I$12,Calculations!$R$4),$D$7))</f>
        <v/>
      </c>
      <c r="E53" s="209" t="str">
        <f>IF($C53="","",$E52*(1+'Model Parameters'!$G$18)*(1+'Model Parameters'!$G$19))</f>
        <v/>
      </c>
      <c r="F53" s="209" t="str">
        <f>IF($C53="","",IFERROR(VLOOKUP(C53,'Model Parameters'!$U$4:$X$20,4,0)*52.18*3.74,$F52*(1+'Model Parameters'!$G$18)))</f>
        <v/>
      </c>
      <c r="G53" s="209" t="str">
        <f t="shared" si="0"/>
        <v/>
      </c>
      <c r="H53" s="209" t="str">
        <f>IFERROR($D53*$E53*'Model Parameters'!$G$4,"")</f>
        <v/>
      </c>
      <c r="I53" s="209" t="str">
        <f>IFERROR(H53*IFERROR(VLOOKUP($C53,'Model Parameters'!$M$18:$N$30,2,0),1)*(1+'Model Parameters'!$G$20)^(YEAR(Calculations!$R$5)-MAX($C53,$R$14)),"")</f>
        <v/>
      </c>
      <c r="J53" s="209" t="str">
        <f>IFERROR($D53*('Model Parameters'!$G$6*MIN($E53,$F53)+'Model Parameters'!$G$5*MAX(0,$E53-$F53)),"")</f>
        <v/>
      </c>
      <c r="K53" s="209" t="str">
        <f>IFERROR(J53*IFERROR(VLOOKUP($C53,'Model Parameters'!$M$18:$N$30,2,0),1)*(1+'Model Parameters'!$G$20)^(YEAR(Calculations!$R$5)-MAX($C53,$R$14)),"")</f>
        <v/>
      </c>
    </row>
    <row r="54" spans="2:11" x14ac:dyDescent="0.3">
      <c r="C54" s="55" t="str">
        <f>IFERROR(IF($C53+1&gt;YEAR('Model Parameters'!$I$12),"",$C53+1),"")</f>
        <v/>
      </c>
      <c r="D54" s="208" t="str">
        <f>IF($C54="","",IF($C54=YEAR('Model Parameters'!$I$12),$D$7*YEARFRAC('Model Parameters'!$I$12,Calculations!$R$4),$D$7))</f>
        <v/>
      </c>
      <c r="E54" s="209" t="str">
        <f>IF($C54="","",$E53*(1+'Model Parameters'!$G$18)*(1+'Model Parameters'!$G$19))</f>
        <v/>
      </c>
      <c r="F54" s="209" t="str">
        <f>IF($C54="","",IFERROR(VLOOKUP(C54,'Model Parameters'!$U$4:$X$20,4,0)*52.18*3.74,$F53*(1+'Model Parameters'!$G$18)))</f>
        <v/>
      </c>
      <c r="G54" s="209" t="str">
        <f t="shared" si="0"/>
        <v/>
      </c>
      <c r="H54" s="209" t="str">
        <f>IFERROR($D54*$E54*'Model Parameters'!$G$4,"")</f>
        <v/>
      </c>
      <c r="I54" s="209" t="str">
        <f>IFERROR(H54*IFERROR(VLOOKUP($C54,'Model Parameters'!$M$18:$N$30,2,0),1)*(1+'Model Parameters'!$G$20)^(YEAR(Calculations!$R$5)-MAX($C54,$R$14)),"")</f>
        <v/>
      </c>
      <c r="J54" s="209" t="str">
        <f>IFERROR($D54*('Model Parameters'!$G$6*MIN($E54,$F54)+'Model Parameters'!$G$5*MAX(0,$E54-$F54)),"")</f>
        <v/>
      </c>
      <c r="K54" s="209" t="str">
        <f>IFERROR(J54*IFERROR(VLOOKUP($C54,'Model Parameters'!$M$18:$N$30,2,0),1)*(1+'Model Parameters'!$G$20)^(YEAR(Calculations!$R$5)-MAX($C54,$R$14)),"")</f>
        <v/>
      </c>
    </row>
    <row r="55" spans="2:11" x14ac:dyDescent="0.3">
      <c r="C55" s="55" t="str">
        <f>IFERROR(IF($C54+1&gt;YEAR('Model Parameters'!$I$12),"",$C54+1),"")</f>
        <v/>
      </c>
      <c r="D55" s="208" t="str">
        <f>IF($C55="","",IF($C55=YEAR('Model Parameters'!$I$12),$D$7*YEARFRAC('Model Parameters'!$I$12,Calculations!$R$4),$D$7))</f>
        <v/>
      </c>
      <c r="E55" s="209" t="str">
        <f>IF($C55="","",$E54*(1+'Model Parameters'!$G$18)*(1+'Model Parameters'!$G$19))</f>
        <v/>
      </c>
      <c r="F55" s="209" t="str">
        <f>IF($C55="","",IFERROR(VLOOKUP(C55,'Model Parameters'!$U$4:$X$20,4,0)*52.18*3.74,$F54*(1+'Model Parameters'!$G$18)))</f>
        <v/>
      </c>
      <c r="G55" s="209" t="str">
        <f t="shared" si="0"/>
        <v/>
      </c>
      <c r="H55" s="209" t="str">
        <f>IFERROR($D55*$E55*'Model Parameters'!$G$4,"")</f>
        <v/>
      </c>
      <c r="I55" s="209" t="str">
        <f>IFERROR(H55*IFERROR(VLOOKUP($C55,'Model Parameters'!$M$18:$N$30,2,0),1)*(1+'Model Parameters'!$G$20)^(YEAR(Calculations!$R$5)-MAX($C55,$R$14)),"")</f>
        <v/>
      </c>
      <c r="J55" s="209" t="str">
        <f>IFERROR($D55*('Model Parameters'!$G$6*MIN($E55,$F55)+'Model Parameters'!$G$5*MAX(0,$E55-$F55)),"")</f>
        <v/>
      </c>
      <c r="K55" s="209" t="str">
        <f>IFERROR(J55*IFERROR(VLOOKUP($C55,'Model Parameters'!$M$18:$N$30,2,0),1)*(1+'Model Parameters'!$G$20)^(YEAR(Calculations!$R$5)-MAX($C55,$R$14)),"")</f>
        <v/>
      </c>
    </row>
    <row r="56" spans="2:11" x14ac:dyDescent="0.3">
      <c r="C56" s="55" t="str">
        <f>IFERROR(IF($C55+1&gt;YEAR('Model Parameters'!$I$12),"",$C55+1),"")</f>
        <v/>
      </c>
      <c r="D56" s="208" t="str">
        <f>IF($C56="","",IF($C56=YEAR('Model Parameters'!$I$12),$D$7*YEARFRAC('Model Parameters'!$I$12,Calculations!$R$4),$D$7))</f>
        <v/>
      </c>
      <c r="E56" s="209" t="str">
        <f>IF($C56="","",$E55*(1+'Model Parameters'!$G$18)*(1+'Model Parameters'!$G$19))</f>
        <v/>
      </c>
      <c r="F56" s="209" t="str">
        <f>IF($C56="","",IFERROR(VLOOKUP(C56,'Model Parameters'!$U$4:$X$20,4,0)*52.18*3.74,$F55*(1+'Model Parameters'!$G$18)))</f>
        <v/>
      </c>
      <c r="G56" s="209" t="str">
        <f t="shared" si="0"/>
        <v/>
      </c>
      <c r="H56" s="209" t="str">
        <f>IFERROR($D56*$E56*'Model Parameters'!$G$4,"")</f>
        <v/>
      </c>
      <c r="I56" s="209" t="str">
        <f>IFERROR(H56*IFERROR(VLOOKUP($C56,'Model Parameters'!$M$18:$N$30,2,0),1)*(1+'Model Parameters'!$G$20)^(YEAR(Calculations!$R$5)-MAX($C56,$R$14)),"")</f>
        <v/>
      </c>
      <c r="J56" s="209" t="str">
        <f>IFERROR($D56*('Model Parameters'!$G$6*MIN($E56,$F56)+'Model Parameters'!$G$5*MAX(0,$E56-$F56)),"")</f>
        <v/>
      </c>
      <c r="K56" s="209" t="str">
        <f>IFERROR(J56*IFERROR(VLOOKUP($C56,'Model Parameters'!$M$18:$N$30,2,0),1)*(1+'Model Parameters'!$G$20)^(YEAR(Calculations!$R$5)-MAX($C56,$R$14)),"")</f>
        <v/>
      </c>
    </row>
    <row r="57" spans="2:11" x14ac:dyDescent="0.3">
      <c r="C57" s="55" t="str">
        <f>IFERROR(IF($C56+1&gt;YEAR('Model Parameters'!$I$12),"",$C56+1),"")</f>
        <v/>
      </c>
      <c r="D57" s="208" t="str">
        <f>IF($C57="","",IF($C57=YEAR('Model Parameters'!$I$12),$D$7*YEARFRAC('Model Parameters'!$I$12,Calculations!$R$4),$D$7))</f>
        <v/>
      </c>
      <c r="E57" s="209" t="str">
        <f>IF($C57="","",$E56*(1+'Model Parameters'!$G$18)*(1+'Model Parameters'!$G$19))</f>
        <v/>
      </c>
      <c r="F57" s="209" t="str">
        <f>IF($C57="","",IFERROR(VLOOKUP(C57,'Model Parameters'!$U$4:$X$20,4,0)*52.18*3.74,$F56*(1+'Model Parameters'!$G$18)))</f>
        <v/>
      </c>
      <c r="G57" s="209" t="str">
        <f t="shared" si="0"/>
        <v/>
      </c>
      <c r="H57" s="209" t="str">
        <f>IFERROR($D57*$E57*'Model Parameters'!$G$4,"")</f>
        <v/>
      </c>
      <c r="I57" s="209" t="str">
        <f>IFERROR(H57*IFERROR(VLOOKUP($C57,'Model Parameters'!$M$18:$N$30,2,0),1)*(1+'Model Parameters'!$G$20)^(YEAR(Calculations!$R$5)-MAX($C57,$R$14)),"")</f>
        <v/>
      </c>
      <c r="J57" s="209" t="str">
        <f>IFERROR($D57*('Model Parameters'!$G$6*MIN($E57,$F57)+'Model Parameters'!$G$5*MAX(0,$E57-$F57)),"")</f>
        <v/>
      </c>
      <c r="K57" s="209" t="str">
        <f>IFERROR(J57*IFERROR(VLOOKUP($C57,'Model Parameters'!$M$18:$N$30,2,0),1)*(1+'Model Parameters'!$G$20)^(YEAR(Calculations!$R$5)-MAX($C57,$R$14)),"")</f>
        <v/>
      </c>
    </row>
    <row r="58" spans="2:11" x14ac:dyDescent="0.3">
      <c r="C58" s="55" t="str">
        <f>IFERROR(IF($C57+1&gt;YEAR('Model Parameters'!$I$12),"",$C57+1),"")</f>
        <v/>
      </c>
      <c r="D58" s="208" t="str">
        <f>IF($C58="","",IF($C58=YEAR('Model Parameters'!$I$12),$D$7*YEARFRAC('Model Parameters'!$I$12,Calculations!$R$4),$D$7))</f>
        <v/>
      </c>
      <c r="E58" s="209" t="str">
        <f>IF($C58="","",$E57*(1+'Model Parameters'!$G$18)*(1+'Model Parameters'!$G$19))</f>
        <v/>
      </c>
      <c r="F58" s="209" t="str">
        <f>IF($C58="","",IFERROR(VLOOKUP(C58,'Model Parameters'!$U$4:$X$20,4,0)*52.18*3.74,$F57*(1+'Model Parameters'!$G$18)))</f>
        <v/>
      </c>
      <c r="G58" s="209" t="str">
        <f t="shared" si="0"/>
        <v/>
      </c>
      <c r="H58" s="209" t="str">
        <f>IFERROR($D58*$E58*'Model Parameters'!$G$4,"")</f>
        <v/>
      </c>
      <c r="I58" s="209" t="str">
        <f>IFERROR(H58*IFERROR(VLOOKUP($C58,'Model Parameters'!$M$18:$N$30,2,0),1)*(1+'Model Parameters'!$G$20)^(YEAR(Calculations!$R$5)-MAX($C58,$R$14)),"")</f>
        <v/>
      </c>
      <c r="J58" s="209" t="str">
        <f>IFERROR($D58*('Model Parameters'!$G$6*MIN($E58,$F58)+'Model Parameters'!$G$5*MAX(0,$E58-$F58)),"")</f>
        <v/>
      </c>
      <c r="K58" s="209" t="str">
        <f>IFERROR(J58*IFERROR(VLOOKUP($C58,'Model Parameters'!$M$18:$N$30,2,0),1)*(1+'Model Parameters'!$G$20)^(YEAR(Calculations!$R$5)-MAX($C58,$R$14)),"")</f>
        <v/>
      </c>
    </row>
    <row r="59" spans="2:11" x14ac:dyDescent="0.3">
      <c r="C59" s="55" t="str">
        <f>IFERROR(IF($C58+1&gt;YEAR('Model Parameters'!$I$12),"",$C58+1),"")</f>
        <v/>
      </c>
      <c r="D59" s="208" t="str">
        <f>IF($C59="","",IF($C59=YEAR('Model Parameters'!$I$12),$D$7*YEARFRAC('Model Parameters'!$I$12,Calculations!$R$4),$D$7))</f>
        <v/>
      </c>
      <c r="E59" s="209" t="str">
        <f>IF($C59="","",$E58*(1+'Model Parameters'!$G$18)*(1+'Model Parameters'!$G$19))</f>
        <v/>
      </c>
      <c r="F59" s="209" t="str">
        <f>IF($C59="","",IFERROR(VLOOKUP(C59,'Model Parameters'!$U$4:$X$20,4,0)*52.18*3.74,$F58*(1+'Model Parameters'!$G$18)))</f>
        <v/>
      </c>
      <c r="G59" s="209" t="str">
        <f t="shared" si="0"/>
        <v/>
      </c>
      <c r="H59" s="209" t="str">
        <f>IFERROR($D59*$E59*'Model Parameters'!$G$4,"")</f>
        <v/>
      </c>
      <c r="I59" s="209" t="str">
        <f>IFERROR(H59*IFERROR(VLOOKUP($C59,'Model Parameters'!$M$18:$N$30,2,0),1)*(1+'Model Parameters'!$G$20)^(YEAR(Calculations!$R$5)-MAX($C59,$R$14)),"")</f>
        <v/>
      </c>
      <c r="J59" s="209" t="str">
        <f>IFERROR($D59*('Model Parameters'!$G$6*MIN($E59,$F59)+'Model Parameters'!$G$5*MAX(0,$E59-$F59)),"")</f>
        <v/>
      </c>
      <c r="K59" s="209" t="str">
        <f>IFERROR(J59*IFERROR(VLOOKUP($C59,'Model Parameters'!$M$18:$N$30,2,0),1)*(1+'Model Parameters'!$G$20)^(YEAR(Calculations!$R$5)-MAX($C59,$R$14)),"")</f>
        <v/>
      </c>
    </row>
    <row r="60" spans="2:11" ht="15" thickBot="1" x14ac:dyDescent="0.35">
      <c r="C60" s="210" t="str">
        <f>IFERROR(IF($C59+1&gt;YEAR('Model Parameters'!$I$12),"",$C59+1),"")</f>
        <v/>
      </c>
      <c r="D60" s="211" t="str">
        <f>IF($C60="","",IF($C60=YEAR('Model Parameters'!$I$12),$D$7*YEARFRAC('Model Parameters'!$I$12,Calculations!$R$4),$D$7))</f>
        <v/>
      </c>
      <c r="E60" s="212" t="str">
        <f>IF($C60="","",$E59*(1+'Model Parameters'!$G$18)*(1+'Model Parameters'!$G$19))</f>
        <v/>
      </c>
      <c r="F60" s="212" t="str">
        <f>IF($C60="","",IFERROR(VLOOKUP(C60,'Model Parameters'!$U$4:$X$20,4,0)*52.18*3.74,$F59*(1+'Model Parameters'!$G$18)))</f>
        <v/>
      </c>
      <c r="G60" s="212" t="str">
        <f t="shared" si="0"/>
        <v/>
      </c>
      <c r="H60" s="212" t="str">
        <f>IFERROR($D60*$E60*'Model Parameters'!$G$4,"")</f>
        <v/>
      </c>
      <c r="I60" s="212" t="str">
        <f>IFERROR(H60*IFERROR(VLOOKUP($C60,'Model Parameters'!$M$18:$N$30,2,0),1)*(1+'Model Parameters'!$G$20)^(YEAR(Calculations!$R$5)-MAX($C60,$R$14)),"")</f>
        <v/>
      </c>
      <c r="J60" s="212" t="str">
        <f>IFERROR($D60*('Model Parameters'!$G$6*MIN($E60,$F60)+'Model Parameters'!$G$5*MAX(0,$E60-$F60)),"")</f>
        <v/>
      </c>
      <c r="K60" s="212" t="str">
        <f>IFERROR(J60*IFERROR(VLOOKUP($C60,'Model Parameters'!$M$18:$N$30,2,0),1)*(1+'Model Parameters'!$G$20)^(YEAR(Calculations!$R$5)-MAX($C60,$R$14)),"")</f>
        <v/>
      </c>
    </row>
  </sheetData>
  <sheetProtection selectLockedCells="1"/>
  <customSheetViews>
    <customSheetView guid="{4E701ADD-B653-400C-8A42-0AC861206E5A}" state="hidden">
      <selection activeCell="N14" sqref="N14"/>
      <pageMargins left="0.7" right="0.7" top="0.75" bottom="0.75" header="0.3" footer="0.3"/>
    </customSheetView>
    <customSheetView guid="{2A619B68-536F-426D-BFE9-EE04724DEF36}" state="hidden">
      <selection activeCell="N14" sqref="N14"/>
      <pageMargins left="0.7" right="0.7" top="0.75" bottom="0.75" header="0.3" footer="0.3"/>
    </customSheetView>
    <customSheetView guid="{1605CA2C-FF00-4896-997A-CEBF2520096B}" state="hidden">
      <selection activeCell="N14" sqref="N14"/>
      <pageMargins left="0.7" right="0.7" top="0.75" bottom="0.75" header="0.3" footer="0.3"/>
    </customSheetView>
    <customSheetView guid="{3A4D590C-9376-45C5-87AA-FF7CE0EBE4F9}" state="hidden">
      <selection activeCell="N14" sqref="N14"/>
      <pageMargins left="0.7" right="0.7" top="0.75" bottom="0.75" header="0.3" footer="0.3"/>
    </customSheetView>
    <customSheetView guid="{94C6E1F2-1311-446C-ACA2-771EF249BF12}">
      <selection activeCell="N14" sqref="N14"/>
      <pageMargins left="0.7" right="0.7" top="0.75" bottom="0.75" header="0.3" footer="0.3"/>
    </customSheetView>
  </customSheetViews>
  <mergeCells count="2">
    <mergeCell ref="E2:G2"/>
    <mergeCell ref="J2:K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eDocument" ma:contentTypeID="0x0101000BC94875665D404BB1351B53C41FD2C000D6E48C5749A26745971C700497DF6D5D" ma:contentTypeVersion="235" ma:contentTypeDescription="" ma:contentTypeScope="" ma:versionID="571f2156a1e07c8c34451a55efb63d08">
  <xsd:schema xmlns:xsd="http://www.w3.org/2001/XMLSchema" xmlns:xs="http://www.w3.org/2001/XMLSchema" xmlns:p="http://schemas.microsoft.com/office/2006/metadata/properties" xmlns:ns2="c2fc964f-1c90-4bbe-add8-fb5fb2278b70" targetNamespace="http://schemas.microsoft.com/office/2006/metadata/properties" ma:root="true" ma:fieldsID="918b69fea36e07f70df5fa9acbd221e8" ns2:_="">
    <xsd:import namespace="c2fc964f-1c90-4bbe-add8-fb5fb2278b70"/>
    <xsd:element name="properties">
      <xsd:complexType>
        <xsd:sequence>
          <xsd:element name="documentManagement">
            <xsd:complexType>
              <xsd:all>
                <xsd:element ref="ns2:_vti_ItemDeclaredRecord" minOccurs="0"/>
                <xsd:element ref="ns2:eDocs_FileStatus"/>
                <xsd:element ref="ns2:eDocs_eFileName" minOccurs="0"/>
                <xsd:element ref="ns2:TaxCatchAll" minOccurs="0"/>
                <xsd:element ref="ns2:TaxCatchAllLabel" minOccurs="0"/>
                <xsd:element ref="ns2:h1f8bb4843d6459a8b809123185593c7" minOccurs="0"/>
                <xsd:element ref="ns2:nb1b8a72855341e18dd75ce464e281f2" minOccurs="0"/>
                <xsd:element ref="ns2:m02c691f3efa402dab5cbaa8c240a9e7" minOccurs="0"/>
                <xsd:element ref="ns2:mbbd3fafa5ab4e5eb8a6a5e099cef439" minOccurs="0"/>
                <xsd:element ref="ns2:fbaa881fc4ae443f9fdafbdd527793d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fc964f-1c90-4bbe-add8-fb5fb2278b70" elementFormDefault="qualified">
    <xsd:import namespace="http://schemas.microsoft.com/office/2006/documentManagement/types"/>
    <xsd:import namespace="http://schemas.microsoft.com/office/infopath/2007/PartnerControls"/>
    <xsd:element name="_vti_ItemDeclaredRecord" ma:index="2" nillable="true" ma:displayName="Declared Record" ma:hidden="true" ma:internalName="_vti_ItemDeclaredRecord">
      <xsd:simpleType>
        <xsd:restriction base="dms:DateTime"/>
      </xsd:simpleType>
    </xsd:element>
    <xsd:element name="eDocs_FileStatus" ma:index="5" ma:displayName="Status" ma:default="Live" ma:format="Dropdown" ma:indexed="true" ma:internalName="eDocs_FileStatus">
      <xsd:simpleType>
        <xsd:restriction base="dms:Choice">
          <xsd:enumeration value="Live"/>
          <xsd:enumeration value="Archived"/>
          <xsd:enumeration value="PendingLive"/>
          <xsd:enumeration value="PendingArchived"/>
          <xsd:enumeration value="Cancelled"/>
          <xsd:enumeration value="SentToNationalArchives"/>
        </xsd:restriction>
      </xsd:simpleType>
    </xsd:element>
    <xsd:element name="eDocs_eFileName" ma:index="8" nillable="true" ma:displayName="eFile Reference" ma:indexed="true" ma:internalName="eDocs_eFileName" ma:readOnly="false">
      <xsd:simpleType>
        <xsd:restriction base="dms:Text"/>
      </xsd:simpleType>
    </xsd:element>
    <xsd:element name="TaxCatchAll" ma:index="9" nillable="true" ma:displayName="Taxonomy Catch All Column" ma:hidden="true" ma:list="{74f272bb-b806-4b2e-819e-9931bfd6e572}" ma:internalName="TaxCatchAll" ma:showField="CatchAllData" ma:web="c2fc964f-1c90-4bbe-add8-fb5fb2278b70">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74f272bb-b806-4b2e-819e-9931bfd6e572}" ma:internalName="TaxCatchAllLabel" ma:readOnly="true" ma:showField="CatchAllDataLabel" ma:web="c2fc964f-1c90-4bbe-add8-fb5fb2278b70">
      <xsd:complexType>
        <xsd:complexContent>
          <xsd:extension base="dms:MultiChoiceLookup">
            <xsd:sequence>
              <xsd:element name="Value" type="dms:Lookup" maxOccurs="unbounded" minOccurs="0" nillable="true"/>
            </xsd:sequence>
          </xsd:extension>
        </xsd:complexContent>
      </xsd:complexType>
    </xsd:element>
    <xsd:element name="h1f8bb4843d6459a8b809123185593c7" ma:index="13" nillable="true" ma:taxonomy="true" ma:internalName="h1f8bb4843d6459a8b809123185593c7" ma:taxonomyFieldName="eDocs_Series" ma:displayName="Series" ma:readOnly="false" ma:default="-1;#118|04ac385e-727d-4436-b5d2-d2dc607c9794" ma:fieldId="{11f8bb48-43d6-459a-8b80-9123185593c7}" ma:sspId="f2970656-14da-44a7-bf1a-2b1eb7a31fa1" ma:termSetId="584d92f5-f104-4db4-9eaa-0d5facccda66" ma:anchorId="00000000-0000-0000-0000-000000000000" ma:open="false" ma:isKeyword="false">
      <xsd:complexType>
        <xsd:sequence>
          <xsd:element ref="pc:Terms" minOccurs="0" maxOccurs="1"/>
        </xsd:sequence>
      </xsd:complexType>
    </xsd:element>
    <xsd:element name="nb1b8a72855341e18dd75ce464e281f2" ma:index="15" nillable="true" ma:taxonomy="true" ma:internalName="nb1b8a72855341e18dd75ce464e281f2" ma:taxonomyFieldName="eDocs_Year" ma:displayName="Year" ma:readOnly="false" ma:fieldId="{7b1b8a72-8553-41e1-8dd7-5ce464e281f2}" ma:sspId="f2970656-14da-44a7-bf1a-2b1eb7a31fa1" ma:termSetId="6b2a013c-fe8b-4805-9242-a33f2487bec9" ma:anchorId="00000000-0000-0000-0000-000000000000" ma:open="false" ma:isKeyword="false">
      <xsd:complexType>
        <xsd:sequence>
          <xsd:element ref="pc:Terms" minOccurs="0" maxOccurs="1"/>
        </xsd:sequence>
      </xsd:complexType>
    </xsd:element>
    <xsd:element name="m02c691f3efa402dab5cbaa8c240a9e7" ma:index="18" nillable="true" ma:taxonomy="true" ma:internalName="m02c691f3efa402dab5cbaa8c240a9e7" ma:taxonomyFieldName="eDocs_FileTopics" ma:displayName="File Topics" ma:readOnly="false" ma:fieldId="{602c691f-3efa-402d-ab5c-baa8c240a9e7}" ma:taxonomyMulti="true" ma:sspId="f2970656-14da-44a7-bf1a-2b1eb7a31fa1" ma:termSetId="d2be7331-615d-4de0-81f8-3af66a042f43" ma:anchorId="00000000-0000-0000-0000-000000000000" ma:open="false" ma:isKeyword="false">
      <xsd:complexType>
        <xsd:sequence>
          <xsd:element ref="pc:Terms" minOccurs="0" maxOccurs="1"/>
        </xsd:sequence>
      </xsd:complexType>
    </xsd:element>
    <xsd:element name="mbbd3fafa5ab4e5eb8a6a5e099cef439" ma:index="20" nillable="true" ma:taxonomy="true" ma:internalName="mbbd3fafa5ab4e5eb8a6a5e099cef439" ma:taxonomyFieldName="eDocs_SecurityClassification" ma:displayName="Security Classification" ma:readOnly="false" ma:default="-1;#Unclassified|0db6e6fe-7da6-4395-ba22-207b2a29f028" ma:fieldId="{6bbd3faf-a5ab-4e5e-b8a6-a5e099cef439}" ma:sspId="f2970656-14da-44a7-bf1a-2b1eb7a31fa1" ma:termSetId="9d236be9-847d-436d-be84-30193fff6b7e" ma:anchorId="00000000-0000-0000-0000-000000000000" ma:open="false" ma:isKeyword="false">
      <xsd:complexType>
        <xsd:sequence>
          <xsd:element ref="pc:Terms" minOccurs="0" maxOccurs="1"/>
        </xsd:sequence>
      </xsd:complexType>
    </xsd:element>
    <xsd:element name="fbaa881fc4ae443f9fdafbdd527793df" ma:index="22" nillable="true" ma:taxonomy="true" ma:internalName="fbaa881fc4ae443f9fdafbdd527793df" ma:taxonomyFieldName="eDocs_DocumentTopics" ma:displayName="Document Topics" ma:fieldId="{fbaa881f-c4ae-443f-9fda-fbdd527793df}" ma:taxonomyMulti="true" ma:sspId="f2970656-14da-44a7-bf1a-2b1eb7a31fa1" ma:termSetId="d2be7331-615d-4de0-81f8-3af66a042f43"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0"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vti_ItemDeclaredRecord xmlns="c2fc964f-1c90-4bbe-add8-fb5fb2278b70" xsi:nil="true"/>
    <mbbd3fafa5ab4e5eb8a6a5e099cef439 xmlns="c2fc964f-1c90-4bbe-add8-fb5fb2278b70">
      <Terms xmlns="http://schemas.microsoft.com/office/infopath/2007/PartnerControls">
        <TermInfo xmlns="http://schemas.microsoft.com/office/infopath/2007/PartnerControls">
          <TermName xmlns="http://schemas.microsoft.com/office/infopath/2007/PartnerControls">Unclassified</TermName>
          <TermId xmlns="http://schemas.microsoft.com/office/infopath/2007/PartnerControls">0db6e6fe-7da6-4395-ba22-207b2a29f028</TermId>
        </TermInfo>
      </Terms>
    </mbbd3fafa5ab4e5eb8a6a5e099cef439>
    <nb1b8a72855341e18dd75ce464e281f2 xmlns="c2fc964f-1c90-4bbe-add8-fb5fb2278b70">
      <Terms xmlns="http://schemas.microsoft.com/office/infopath/2007/PartnerControls"/>
    </nb1b8a72855341e18dd75ce464e281f2>
    <m02c691f3efa402dab5cbaa8c240a9e7 xmlns="c2fc964f-1c90-4bbe-add8-fb5fb2278b70">
      <Terms xmlns="http://schemas.microsoft.com/office/infopath/2007/PartnerControls"/>
    </m02c691f3efa402dab5cbaa8c240a9e7>
    <fbaa881fc4ae443f9fdafbdd527793df xmlns="c2fc964f-1c90-4bbe-add8-fb5fb2278b70">
      <Terms xmlns="http://schemas.microsoft.com/office/infopath/2007/PartnerControls"/>
    </fbaa881fc4ae443f9fdafbdd527793df>
    <eDocs_eFileName xmlns="c2fc964f-1c90-4bbe-add8-fb5fb2278b70" xsi:nil="true"/>
    <h1f8bb4843d6459a8b809123185593c7 xmlns="c2fc964f-1c90-4bbe-add8-fb5fb2278b70">
      <Terms xmlns="http://schemas.microsoft.com/office/infopath/2007/PartnerControls">
        <TermInfo xmlns="http://schemas.microsoft.com/office/infopath/2007/PartnerControls">
          <TermName xmlns="http://schemas.microsoft.com/office/infopath/2007/PartnerControls">118</TermName>
          <TermId xmlns="http://schemas.microsoft.com/office/infopath/2007/PartnerControls">04ac385e-727d-4436-b5d2-d2dc607c9794</TermId>
        </TermInfo>
      </Terms>
    </h1f8bb4843d6459a8b809123185593c7>
    <eDocs_FileStatus xmlns="c2fc964f-1c90-4bbe-add8-fb5fb2278b70">Live</eDocs_FileStatus>
    <TaxCatchAll xmlns="c2fc964f-1c90-4bbe-add8-fb5fb2278b70">
      <Value>5</Value>
      <Value>1</Value>
    </TaxCatchAll>
  </documentManagement>
</p:properties>
</file>

<file path=customXml/itemProps1.xml><?xml version="1.0" encoding="utf-8"?>
<ds:datastoreItem xmlns:ds="http://schemas.openxmlformats.org/officeDocument/2006/customXml" ds:itemID="{FF90BABB-D85C-4B5B-8900-EFBB4789E0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fc964f-1c90-4bbe-add8-fb5fb2278b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E93C32-F740-4E8F-8656-0E843A1668D9}">
  <ds:schemaRefs>
    <ds:schemaRef ds:uri="http://schemas.microsoft.com/sharepoint/v3/contenttype/forms"/>
  </ds:schemaRefs>
</ds:datastoreItem>
</file>

<file path=customXml/itemProps3.xml><?xml version="1.0" encoding="utf-8"?>
<ds:datastoreItem xmlns:ds="http://schemas.openxmlformats.org/officeDocument/2006/customXml" ds:itemID="{D72744A5-F4A5-41FE-BD1F-B1D28A78A353}">
  <ds:schemaRefs>
    <ds:schemaRef ds:uri="http://schemas.microsoft.com/office/2006/documentManagement/types"/>
    <ds:schemaRef ds:uri="http://purl.org/dc/terms/"/>
    <ds:schemaRef ds:uri="http://purl.org/dc/dcmitype/"/>
    <ds:schemaRef ds:uri="http://purl.org/dc/elements/1.1/"/>
    <ds:schemaRef ds:uri="http://schemas.microsoft.com/office/2006/metadata/properties"/>
    <ds:schemaRef ds:uri="c2fc964f-1c90-4bbe-add8-fb5fb2278b70"/>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Disclaimer</vt:lpstr>
      <vt:lpstr>Assumptions</vt:lpstr>
      <vt:lpstr>Inputs</vt:lpstr>
      <vt:lpstr>Outputs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Talbot (PER)</dc:creator>
  <cp:lastModifiedBy>Craig Flynn (PER)</cp:lastModifiedBy>
  <dcterms:created xsi:type="dcterms:W3CDTF">2015-06-05T18:17:20Z</dcterms:created>
  <dcterms:modified xsi:type="dcterms:W3CDTF">2026-06-26T08:18:25Z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0x0101000BC94875665D404BB1351B53C41FD2C000D6E48C5749A26745971C700497DF6D5D</vt:lpwstr>
  </property>
  <property fmtid="{D5CDD505-2E9C-101B-9397-08002B2CF9AE}" pid="3" name="eDocs_FileTopics">
    <vt:lpwstr/>
  </property>
  <property fmtid="{D5CDD505-2E9C-101B-9397-08002B2CF9AE}" pid="4" name="eDocs_SecurityClassification">
    <vt:lpwstr>5;#Unclassified|0db6e6fe-7da6-4395-ba22-207b2a29f028</vt:lpwstr>
  </property>
  <property fmtid="{D5CDD505-2E9C-101B-9397-08002B2CF9AE}" pid="5" name="eDocs_Series">
    <vt:lpwstr>1;#118|04ac385e-727d-4436-b5d2-d2dc607c9794</vt:lpwstr>
  </property>
  <property fmtid="{D5CDD505-2E9C-101B-9397-08002B2CF9AE}" pid="6" name="eDocs_DocumentTopics">
    <vt:lpwstr/>
  </property>
  <property fmtid="{D5CDD505-2E9C-101B-9397-08002B2CF9AE}" pid="7" name="eDocs_Year">
    <vt:lpwstr/>
  </property>
</Properties>
</file>